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220" yWindow="-15" windowWidth="14280" windowHeight="12075" activeTab="2"/>
  </bookViews>
  <sheets>
    <sheet name="P. ACCION A JUNIO" sheetId="1" r:id="rId1"/>
    <sheet name="P. ACCION A JUNIO (2)" sheetId="2" r:id="rId2"/>
    <sheet name="P. ACCION A JUNIO (3)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Titles" localSheetId="0">'P. ACCION A JUNIO'!$C:$F,'P. ACCION A JUNIO'!$1:$3</definedName>
    <definedName name="_xlnm.Print_Titles" localSheetId="1">'P. ACCION A JUNIO (2)'!$C:$F,'P. ACCION A JUNIO (2)'!$1:$3</definedName>
    <definedName name="_xlnm.Print_Titles" localSheetId="2">'P. ACCION A JUNIO (3)'!$C:$F,'P. ACCION A JUNIO (3)'!$1:$3</definedName>
  </definedNames>
  <calcPr calcId="144525"/>
</workbook>
</file>

<file path=xl/calcChain.xml><?xml version="1.0" encoding="utf-8"?>
<calcChain xmlns="http://schemas.openxmlformats.org/spreadsheetml/2006/main">
  <c r="DQ141" i="3" l="1"/>
  <c r="DP141" i="3"/>
  <c r="DQ130" i="3"/>
  <c r="DP130" i="3"/>
  <c r="AC150" i="3"/>
  <c r="AD150" i="3" l="1"/>
  <c r="G150" i="3"/>
  <c r="AB141" i="3"/>
  <c r="DI140" i="3"/>
  <c r="CO140" i="3"/>
  <c r="CN140" i="3"/>
  <c r="CM140" i="3"/>
  <c r="CJ140" i="3"/>
  <c r="CI140" i="3"/>
  <c r="CH140" i="3"/>
  <c r="CG140" i="3"/>
  <c r="CF140" i="3"/>
  <c r="CE140" i="3"/>
  <c r="CD140" i="3"/>
  <c r="CC140" i="3"/>
  <c r="CB140" i="3"/>
  <c r="CA140" i="3"/>
  <c r="BZ140" i="3"/>
  <c r="BY140" i="3"/>
  <c r="BW140" i="3"/>
  <c r="AW140" i="3"/>
  <c r="AV140" i="3"/>
  <c r="AU140" i="3"/>
  <c r="AR140" i="3"/>
  <c r="AQ140" i="3"/>
  <c r="AP140" i="3"/>
  <c r="AO140" i="3"/>
  <c r="AN140" i="3"/>
  <c r="AM140" i="3"/>
  <c r="AL140" i="3"/>
  <c r="AK140" i="3"/>
  <c r="AJ140" i="3"/>
  <c r="AH140" i="3"/>
  <c r="AE140" i="3"/>
  <c r="Z140" i="3"/>
  <c r="Y140" i="3"/>
  <c r="W140" i="3"/>
  <c r="U140" i="3"/>
  <c r="T140" i="3"/>
  <c r="S140" i="3"/>
  <c r="R140" i="3"/>
  <c r="Q140" i="3"/>
  <c r="P140" i="3"/>
  <c r="O140" i="3"/>
  <c r="N140" i="3"/>
  <c r="M140" i="3"/>
  <c r="L140" i="3"/>
  <c r="K140" i="3"/>
  <c r="I140" i="3"/>
  <c r="H140" i="3"/>
  <c r="AB139" i="3"/>
  <c r="DI138" i="3"/>
  <c r="CM138" i="3"/>
  <c r="AU138" i="3"/>
  <c r="AA138" i="3"/>
  <c r="Y138" i="3"/>
  <c r="U138" i="3"/>
  <c r="DI137" i="3"/>
  <c r="CO137" i="3"/>
  <c r="CN137" i="3"/>
  <c r="CM137" i="3"/>
  <c r="CL137" i="3"/>
  <c r="CK137" i="3"/>
  <c r="CJ137" i="3"/>
  <c r="CG137" i="3"/>
  <c r="CF137" i="3"/>
  <c r="CE137" i="3"/>
  <c r="CD137" i="3"/>
  <c r="CC137" i="3"/>
  <c r="BZ137" i="3"/>
  <c r="BY137" i="3"/>
  <c r="BX137" i="3"/>
  <c r="BW137" i="3"/>
  <c r="AW137" i="3"/>
  <c r="AV137" i="3"/>
  <c r="AU137" i="3"/>
  <c r="AT137" i="3"/>
  <c r="AS137" i="3"/>
  <c r="AR137" i="3"/>
  <c r="AO137" i="3"/>
  <c r="AN137" i="3"/>
  <c r="AM137" i="3"/>
  <c r="AL137" i="3"/>
  <c r="AK137" i="3"/>
  <c r="AH137" i="3"/>
  <c r="AG137" i="3"/>
  <c r="AF137" i="3"/>
  <c r="AE137" i="3"/>
  <c r="Z137" i="3"/>
  <c r="Y137" i="3"/>
  <c r="W137" i="3"/>
  <c r="V137" i="3"/>
  <c r="U137" i="3"/>
  <c r="S137" i="3"/>
  <c r="R137" i="3"/>
  <c r="Q137" i="3"/>
  <c r="P137" i="3"/>
  <c r="O137" i="3"/>
  <c r="N137" i="3"/>
  <c r="K137" i="3"/>
  <c r="J137" i="3"/>
  <c r="I137" i="3"/>
  <c r="H137" i="3"/>
  <c r="DI136" i="3"/>
  <c r="CO136" i="3"/>
  <c r="CN136" i="3"/>
  <c r="CM136" i="3"/>
  <c r="CL136" i="3"/>
  <c r="CK136" i="3"/>
  <c r="CH136" i="3"/>
  <c r="CG136" i="3"/>
  <c r="CF136" i="3"/>
  <c r="CE136" i="3"/>
  <c r="CD136" i="3"/>
  <c r="CC136" i="3"/>
  <c r="BZ136" i="3"/>
  <c r="BY136" i="3"/>
  <c r="BX136" i="3"/>
  <c r="BW136" i="3"/>
  <c r="AW136" i="3"/>
  <c r="AV136" i="3"/>
  <c r="AU136" i="3"/>
  <c r="AT136" i="3"/>
  <c r="AS136" i="3"/>
  <c r="AP136" i="3"/>
  <c r="AO136" i="3"/>
  <c r="AN136" i="3"/>
  <c r="AM136" i="3"/>
  <c r="AL136" i="3"/>
  <c r="AK136" i="3"/>
  <c r="AH136" i="3"/>
  <c r="AG136" i="3"/>
  <c r="AF136" i="3"/>
  <c r="AE136" i="3"/>
  <c r="Z136" i="3"/>
  <c r="Y136" i="3"/>
  <c r="W136" i="3"/>
  <c r="V136" i="3"/>
  <c r="U136" i="3"/>
  <c r="T136" i="3"/>
  <c r="S136" i="3"/>
  <c r="R136" i="3"/>
  <c r="Q136" i="3"/>
  <c r="P136" i="3"/>
  <c r="O136" i="3"/>
  <c r="N136" i="3"/>
  <c r="M136" i="3"/>
  <c r="K136" i="3"/>
  <c r="I136" i="3"/>
  <c r="H136" i="3"/>
  <c r="CN135" i="3"/>
  <c r="CM135" i="3"/>
  <c r="CL135" i="3"/>
  <c r="CJ135" i="3"/>
  <c r="CG135" i="3"/>
  <c r="CF135" i="3"/>
  <c r="CE135" i="3"/>
  <c r="CD135" i="3"/>
  <c r="CC135" i="3"/>
  <c r="CB135" i="3"/>
  <c r="CA135" i="3"/>
  <c r="BZ135" i="3"/>
  <c r="BX135" i="3"/>
  <c r="BW135" i="3"/>
  <c r="AV135" i="3"/>
  <c r="AU135" i="3"/>
  <c r="AT135" i="3"/>
  <c r="AR135" i="3"/>
  <c r="AO135" i="3"/>
  <c r="AN135" i="3"/>
  <c r="AM135" i="3"/>
  <c r="AL135" i="3"/>
  <c r="AK135" i="3"/>
  <c r="AJ135" i="3"/>
  <c r="AI135" i="3"/>
  <c r="AH135" i="3"/>
  <c r="AF135" i="3"/>
  <c r="AE135" i="3"/>
  <c r="Y135" i="3"/>
  <c r="X135" i="3"/>
  <c r="X139" i="3" s="1"/>
  <c r="X141" i="3" s="1"/>
  <c r="W135" i="3"/>
  <c r="U135" i="3"/>
  <c r="T135" i="3"/>
  <c r="R135" i="3"/>
  <c r="Q135" i="3"/>
  <c r="P135" i="3"/>
  <c r="O135" i="3"/>
  <c r="N135" i="3"/>
  <c r="L135" i="3"/>
  <c r="K135" i="3"/>
  <c r="I135" i="3"/>
  <c r="H135" i="3"/>
  <c r="DI134" i="3"/>
  <c r="CO134" i="3"/>
  <c r="CN134" i="3"/>
  <c r="CM134" i="3"/>
  <c r="CL134" i="3"/>
  <c r="CK134" i="3"/>
  <c r="CJ134" i="3"/>
  <c r="CI134" i="3"/>
  <c r="CH134" i="3"/>
  <c r="CG134" i="3"/>
  <c r="CF134" i="3"/>
  <c r="CE134" i="3"/>
  <c r="CD134" i="3"/>
  <c r="CC134" i="3"/>
  <c r="CB134" i="3"/>
  <c r="BZ134" i="3"/>
  <c r="BX134" i="3"/>
  <c r="BW134" i="3"/>
  <c r="BR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H134" i="3"/>
  <c r="AF134" i="3"/>
  <c r="AE134" i="3"/>
  <c r="Z134" i="3"/>
  <c r="Y134" i="3"/>
  <c r="W134" i="3"/>
  <c r="V134" i="3"/>
  <c r="U134" i="3"/>
  <c r="T134" i="3"/>
  <c r="S134" i="3"/>
  <c r="R134" i="3"/>
  <c r="Q134" i="3"/>
  <c r="P134" i="3"/>
  <c r="O134" i="3"/>
  <c r="N134" i="3"/>
  <c r="M134" i="3"/>
  <c r="K134" i="3"/>
  <c r="I134" i="3"/>
  <c r="H134" i="3"/>
  <c r="DI133" i="3"/>
  <c r="CO133" i="3"/>
  <c r="CN133" i="3"/>
  <c r="CM133" i="3"/>
  <c r="CL133" i="3"/>
  <c r="CK133" i="3"/>
  <c r="CJ133" i="3"/>
  <c r="CH133" i="3"/>
  <c r="CF133" i="3"/>
  <c r="CE133" i="3"/>
  <c r="CD133" i="3"/>
  <c r="CC133" i="3"/>
  <c r="CB133" i="3"/>
  <c r="CA133" i="3"/>
  <c r="BZ133" i="3"/>
  <c r="BX133" i="3"/>
  <c r="BW133" i="3"/>
  <c r="AW133" i="3"/>
  <c r="AV133" i="3"/>
  <c r="AU133" i="3"/>
  <c r="AT133" i="3"/>
  <c r="AS133" i="3"/>
  <c r="AR133" i="3"/>
  <c r="AP133" i="3"/>
  <c r="AN133" i="3"/>
  <c r="AM133" i="3"/>
  <c r="AL133" i="3"/>
  <c r="AK133" i="3"/>
  <c r="AJ133" i="3"/>
  <c r="AI133" i="3"/>
  <c r="AH133" i="3"/>
  <c r="AF133" i="3"/>
  <c r="AE133" i="3"/>
  <c r="Z133" i="3"/>
  <c r="Y133" i="3"/>
  <c r="W133" i="3"/>
  <c r="U133" i="3"/>
  <c r="T133" i="3"/>
  <c r="S133" i="3"/>
  <c r="Q133" i="3"/>
  <c r="P133" i="3"/>
  <c r="O133" i="3"/>
  <c r="N133" i="3"/>
  <c r="M133" i="3"/>
  <c r="L133" i="3"/>
  <c r="K133" i="3"/>
  <c r="I133" i="3"/>
  <c r="H133" i="3"/>
  <c r="DI132" i="3"/>
  <c r="CO132" i="3"/>
  <c r="CN132" i="3"/>
  <c r="CM132" i="3"/>
  <c r="CL132" i="3"/>
  <c r="CK132" i="3"/>
  <c r="CJ132" i="3"/>
  <c r="CI132" i="3"/>
  <c r="CH132" i="3"/>
  <c r="CF132" i="3"/>
  <c r="CE132" i="3"/>
  <c r="CD132" i="3"/>
  <c r="CC132" i="3"/>
  <c r="CB132" i="3"/>
  <c r="CA132" i="3"/>
  <c r="BX132" i="3"/>
  <c r="BW132" i="3"/>
  <c r="BR132" i="3"/>
  <c r="BB132" i="3"/>
  <c r="AW132" i="3"/>
  <c r="AV132" i="3"/>
  <c r="AU132" i="3"/>
  <c r="AT132" i="3"/>
  <c r="AS132" i="3"/>
  <c r="AR132" i="3"/>
  <c r="AQ132" i="3"/>
  <c r="AP132" i="3"/>
  <c r="AN132" i="3"/>
  <c r="AM132" i="3"/>
  <c r="AL132" i="3"/>
  <c r="AK132" i="3"/>
  <c r="AJ132" i="3"/>
  <c r="AI132" i="3"/>
  <c r="AF132" i="3"/>
  <c r="AE132" i="3"/>
  <c r="Z132" i="3"/>
  <c r="Y132" i="3"/>
  <c r="W132" i="3"/>
  <c r="V132" i="3"/>
  <c r="U132" i="3"/>
  <c r="T132" i="3"/>
  <c r="S132" i="3"/>
  <c r="M132" i="3"/>
  <c r="L132" i="3"/>
  <c r="I132" i="3"/>
  <c r="H132" i="3"/>
  <c r="DI128" i="3"/>
  <c r="CO128" i="3"/>
  <c r="CL128" i="3"/>
  <c r="CK128" i="3"/>
  <c r="CH128" i="3"/>
  <c r="CF128" i="3"/>
  <c r="CE128" i="3"/>
  <c r="CD128" i="3"/>
  <c r="CC128" i="3"/>
  <c r="CB128" i="3"/>
  <c r="BX128" i="3"/>
  <c r="BW128" i="3"/>
  <c r="BQ128" i="3"/>
  <c r="AW128" i="3"/>
  <c r="AU128" i="3"/>
  <c r="AT128" i="3"/>
  <c r="AS128" i="3"/>
  <c r="AP128" i="3"/>
  <c r="AN128" i="3"/>
  <c r="AM128" i="3"/>
  <c r="AL128" i="3"/>
  <c r="AK128" i="3"/>
  <c r="AJ128" i="3"/>
  <c r="AF128" i="3"/>
  <c r="Z128" i="3"/>
  <c r="Y128" i="3"/>
  <c r="X128" i="3"/>
  <c r="W128" i="3"/>
  <c r="T128" i="3"/>
  <c r="S128" i="3"/>
  <c r="P128" i="3"/>
  <c r="M128" i="3"/>
  <c r="L128" i="3"/>
  <c r="I128" i="3"/>
  <c r="H128" i="3"/>
  <c r="DK127" i="3"/>
  <c r="DJ127" i="3"/>
  <c r="DH127" i="3"/>
  <c r="DG127" i="3"/>
  <c r="DF127" i="3"/>
  <c r="DE127" i="3"/>
  <c r="DD127" i="3"/>
  <c r="DC127" i="3"/>
  <c r="DB127" i="3"/>
  <c r="DA127" i="3"/>
  <c r="CZ127" i="3"/>
  <c r="CY127" i="3"/>
  <c r="CX127" i="3"/>
  <c r="CV127" i="3"/>
  <c r="CU127" i="3"/>
  <c r="CT127" i="3"/>
  <c r="CS127" i="3"/>
  <c r="CP127" i="3"/>
  <c r="BV127" i="3" s="1"/>
  <c r="CA127" i="3"/>
  <c r="CW127" i="3" s="1"/>
  <c r="BS127" i="3"/>
  <c r="BP127" i="3"/>
  <c r="BO127" i="3"/>
  <c r="BN127" i="3"/>
  <c r="BM127" i="3"/>
  <c r="BL127" i="3"/>
  <c r="BK127" i="3"/>
  <c r="BJ127" i="3"/>
  <c r="BI127" i="3"/>
  <c r="BH127" i="3"/>
  <c r="BG127" i="3"/>
  <c r="BF127" i="3"/>
  <c r="BD127" i="3"/>
  <c r="BC127" i="3"/>
  <c r="BB127" i="3"/>
  <c r="BA127" i="3"/>
  <c r="AX127" i="3"/>
  <c r="AI127" i="3"/>
  <c r="AA127" i="3"/>
  <c r="DL126" i="3"/>
  <c r="DK126" i="3"/>
  <c r="DJ126" i="3"/>
  <c r="DH126" i="3"/>
  <c r="DG126" i="3"/>
  <c r="DF126" i="3"/>
  <c r="DE126" i="3"/>
  <c r="DD126" i="3"/>
  <c r="DC126" i="3"/>
  <c r="DB126" i="3"/>
  <c r="DA126" i="3"/>
  <c r="CZ126" i="3"/>
  <c r="CY126" i="3"/>
  <c r="CX126" i="3"/>
  <c r="CV126" i="3"/>
  <c r="CU126" i="3"/>
  <c r="CT126" i="3"/>
  <c r="CS126" i="3"/>
  <c r="CA126" i="3"/>
  <c r="CW126" i="3" s="1"/>
  <c r="BV126" i="3"/>
  <c r="BT126" i="3"/>
  <c r="BS126" i="3"/>
  <c r="BP126" i="3"/>
  <c r="BO126" i="3"/>
  <c r="BN126" i="3"/>
  <c r="BM126" i="3"/>
  <c r="BL126" i="3"/>
  <c r="BK126" i="3"/>
  <c r="BJ126" i="3"/>
  <c r="BI126" i="3"/>
  <c r="BH126" i="3"/>
  <c r="BG126" i="3"/>
  <c r="BF126" i="3"/>
  <c r="BD126" i="3"/>
  <c r="BC126" i="3"/>
  <c r="BB126" i="3"/>
  <c r="BA126" i="3"/>
  <c r="AI126" i="3"/>
  <c r="BE126" i="3" s="1"/>
  <c r="AZ126" i="3" s="1"/>
  <c r="AD126" i="3"/>
  <c r="G126" i="3"/>
  <c r="DL125" i="3"/>
  <c r="DK125" i="3"/>
  <c r="DJ125" i="3"/>
  <c r="DH125" i="3"/>
  <c r="DG125" i="3"/>
  <c r="DF125" i="3"/>
  <c r="DE125" i="3"/>
  <c r="DD125" i="3"/>
  <c r="DC125" i="3"/>
  <c r="DB125" i="3"/>
  <c r="DA125" i="3"/>
  <c r="CZ125" i="3"/>
  <c r="CY125" i="3"/>
  <c r="CX125" i="3"/>
  <c r="CV125" i="3"/>
  <c r="CU125" i="3"/>
  <c r="CT125" i="3"/>
  <c r="CS125" i="3"/>
  <c r="CA125" i="3"/>
  <c r="BT125" i="3"/>
  <c r="BS125" i="3"/>
  <c r="BP125" i="3"/>
  <c r="BO125" i="3"/>
  <c r="BN125" i="3"/>
  <c r="BM125" i="3"/>
  <c r="BL125" i="3"/>
  <c r="BK125" i="3"/>
  <c r="BJ125" i="3"/>
  <c r="BI125" i="3"/>
  <c r="BH125" i="3"/>
  <c r="BG125" i="3"/>
  <c r="BF125" i="3"/>
  <c r="BD125" i="3"/>
  <c r="BC125" i="3"/>
  <c r="BB125" i="3"/>
  <c r="BA125" i="3"/>
  <c r="AI125" i="3"/>
  <c r="BE125" i="3" s="1"/>
  <c r="G125" i="3"/>
  <c r="DL124" i="3"/>
  <c r="DK124" i="3"/>
  <c r="DJ124" i="3"/>
  <c r="DH124" i="3"/>
  <c r="DG124" i="3"/>
  <c r="DF124" i="3"/>
  <c r="DE124" i="3"/>
  <c r="DD124" i="3"/>
  <c r="DC124" i="3"/>
  <c r="DB124" i="3"/>
  <c r="DA124" i="3"/>
  <c r="CZ124" i="3"/>
  <c r="CY124" i="3"/>
  <c r="CX124" i="3"/>
  <c r="CW124" i="3"/>
  <c r="CV124" i="3"/>
  <c r="CU124" i="3"/>
  <c r="CT124" i="3"/>
  <c r="CS124" i="3"/>
  <c r="BV124" i="3"/>
  <c r="BU124" i="3" s="1"/>
  <c r="CQ124" i="3" s="1"/>
  <c r="BT124" i="3"/>
  <c r="BS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BA124" i="3"/>
  <c r="AD124" i="3"/>
  <c r="AC124" i="3" s="1"/>
  <c r="AY124" i="3" s="1"/>
  <c r="G124" i="3"/>
  <c r="DL123" i="3"/>
  <c r="DK123" i="3"/>
  <c r="DJ123" i="3"/>
  <c r="DH123" i="3"/>
  <c r="DG123" i="3"/>
  <c r="DF123" i="3"/>
  <c r="DE123" i="3"/>
  <c r="DD123" i="3"/>
  <c r="DC123" i="3"/>
  <c r="DB123" i="3"/>
  <c r="DA123" i="3"/>
  <c r="CZ123" i="3"/>
  <c r="CY123" i="3"/>
  <c r="CX123" i="3"/>
  <c r="CW123" i="3"/>
  <c r="CV123" i="3"/>
  <c r="CU123" i="3"/>
  <c r="CT123" i="3"/>
  <c r="CR123" i="3" s="1"/>
  <c r="CS123" i="3"/>
  <c r="BV123" i="3"/>
  <c r="BT123" i="3"/>
  <c r="BS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BA123" i="3"/>
  <c r="AI123" i="3"/>
  <c r="AD123" i="3" s="1"/>
  <c r="G123" i="3"/>
  <c r="DL122" i="3"/>
  <c r="DK122" i="3"/>
  <c r="DJ122" i="3"/>
  <c r="DH122" i="3"/>
  <c r="DG122" i="3"/>
  <c r="DF122" i="3"/>
  <c r="DE122" i="3"/>
  <c r="DD122" i="3"/>
  <c r="DC122" i="3"/>
  <c r="DB122" i="3"/>
  <c r="DA122" i="3"/>
  <c r="CZ122" i="3"/>
  <c r="CY122" i="3"/>
  <c r="CX122" i="3"/>
  <c r="CV122" i="3"/>
  <c r="CU122" i="3"/>
  <c r="CT122" i="3"/>
  <c r="CS122" i="3"/>
  <c r="CA122" i="3"/>
  <c r="CW122" i="3" s="1"/>
  <c r="BT122" i="3"/>
  <c r="BS122" i="3"/>
  <c r="BP122" i="3"/>
  <c r="BO122" i="3"/>
  <c r="BN122" i="3"/>
  <c r="BM122" i="3"/>
  <c r="BL122" i="3"/>
  <c r="BK122" i="3"/>
  <c r="BJ122" i="3"/>
  <c r="BI122" i="3"/>
  <c r="BH122" i="3"/>
  <c r="BG122" i="3"/>
  <c r="BF122" i="3"/>
  <c r="BD122" i="3"/>
  <c r="BC122" i="3"/>
  <c r="BB122" i="3"/>
  <c r="BA122" i="3"/>
  <c r="AI122" i="3"/>
  <c r="G122" i="3"/>
  <c r="CN121" i="3"/>
  <c r="CN138" i="3" s="1"/>
  <c r="CJ121" i="3"/>
  <c r="CJ128" i="3" s="1"/>
  <c r="BR121" i="3"/>
  <c r="BR138" i="3" s="1"/>
  <c r="BN121" i="3"/>
  <c r="BN138" i="3" s="1"/>
  <c r="AV121" i="3"/>
  <c r="AV138" i="3" s="1"/>
  <c r="AR121" i="3"/>
  <c r="AR138" i="3" s="1"/>
  <c r="AD121" i="3"/>
  <c r="AC121" i="3" s="1"/>
  <c r="AY121" i="3" s="1"/>
  <c r="U121" i="3"/>
  <c r="U128" i="3" s="1"/>
  <c r="G121" i="3"/>
  <c r="G138" i="3" s="1"/>
  <c r="DL120" i="3"/>
  <c r="DK120" i="3"/>
  <c r="DJ120" i="3"/>
  <c r="DH120" i="3"/>
  <c r="DG120" i="3"/>
  <c r="DF120" i="3"/>
  <c r="DD120" i="3"/>
  <c r="DC120" i="3"/>
  <c r="DB120" i="3"/>
  <c r="DA120" i="3"/>
  <c r="CZ120" i="3"/>
  <c r="CY120" i="3"/>
  <c r="CX120" i="3"/>
  <c r="CW120" i="3"/>
  <c r="CV120" i="3"/>
  <c r="CU120" i="3"/>
  <c r="CT120" i="3"/>
  <c r="CS120" i="3"/>
  <c r="CI120" i="3"/>
  <c r="CI133" i="3" s="1"/>
  <c r="BT120" i="3"/>
  <c r="BS120" i="3"/>
  <c r="BR120" i="3"/>
  <c r="BP120" i="3"/>
  <c r="BO120" i="3"/>
  <c r="BN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Q120" i="3"/>
  <c r="G120" i="3"/>
  <c r="DL119" i="3"/>
  <c r="DK119" i="3"/>
  <c r="DJ119" i="3"/>
  <c r="DH119" i="3"/>
  <c r="DF119" i="3"/>
  <c r="DE119" i="3"/>
  <c r="DD119" i="3"/>
  <c r="DC119" i="3"/>
  <c r="DB119" i="3"/>
  <c r="DA119" i="3"/>
  <c r="CZ119" i="3"/>
  <c r="CY119" i="3"/>
  <c r="CX119" i="3"/>
  <c r="CW119" i="3"/>
  <c r="CV119" i="3"/>
  <c r="CT119" i="3"/>
  <c r="CS119" i="3"/>
  <c r="BY119" i="3"/>
  <c r="BV119" i="3" s="1"/>
  <c r="BT119" i="3"/>
  <c r="BS119" i="3"/>
  <c r="BP119" i="3"/>
  <c r="BN119" i="3"/>
  <c r="BM119" i="3"/>
  <c r="BL119" i="3"/>
  <c r="BK119" i="3"/>
  <c r="BJ119" i="3"/>
  <c r="BI119" i="3"/>
  <c r="BH119" i="3"/>
  <c r="BG119" i="3"/>
  <c r="BF119" i="3"/>
  <c r="BE119" i="3"/>
  <c r="BD119" i="3"/>
  <c r="BB119" i="3"/>
  <c r="BA119" i="3"/>
  <c r="AG119" i="3"/>
  <c r="V119" i="3"/>
  <c r="V133" i="3" s="1"/>
  <c r="J119" i="3"/>
  <c r="J133" i="3" s="1"/>
  <c r="DK118" i="3"/>
  <c r="DJ118" i="3"/>
  <c r="DH118" i="3"/>
  <c r="DG118" i="3"/>
  <c r="DF118" i="3"/>
  <c r="DE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P118" i="3"/>
  <c r="BV118" i="3" s="1"/>
  <c r="BS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X118" i="3"/>
  <c r="AA118" i="3"/>
  <c r="DL118" i="3" s="1"/>
  <c r="DL117" i="3"/>
  <c r="DK117" i="3"/>
  <c r="DJ117" i="3"/>
  <c r="DH117" i="3"/>
  <c r="DG117" i="3"/>
  <c r="DF117" i="3"/>
  <c r="DE117" i="3"/>
  <c r="DD117" i="3"/>
  <c r="DC117" i="3"/>
  <c r="DB117" i="3"/>
  <c r="DA117" i="3"/>
  <c r="CZ117" i="3"/>
  <c r="CY117" i="3"/>
  <c r="CX117" i="3"/>
  <c r="CW117" i="3"/>
  <c r="CV117" i="3"/>
  <c r="CU117" i="3"/>
  <c r="CT117" i="3"/>
  <c r="CS117" i="3"/>
  <c r="CQ117" i="3"/>
  <c r="BV117" i="3"/>
  <c r="BU117" i="3"/>
  <c r="BT117" i="3"/>
  <c r="BS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D117" i="3"/>
  <c r="AC117" i="3" s="1"/>
  <c r="AY117" i="3" s="1"/>
  <c r="G117" i="3"/>
  <c r="DK116" i="3"/>
  <c r="DJ116" i="3"/>
  <c r="DH116" i="3"/>
  <c r="DG116" i="3"/>
  <c r="DF116" i="3"/>
  <c r="DE116" i="3"/>
  <c r="DD116" i="3"/>
  <c r="DC116" i="3"/>
  <c r="DB116" i="3"/>
  <c r="DA116" i="3"/>
  <c r="CZ116" i="3"/>
  <c r="CY116" i="3"/>
  <c r="CX116" i="3"/>
  <c r="CW116" i="3"/>
  <c r="CV116" i="3"/>
  <c r="CU116" i="3"/>
  <c r="CT116" i="3"/>
  <c r="CS116" i="3"/>
  <c r="CP116" i="3"/>
  <c r="BV116" i="3" s="1"/>
  <c r="BT116" i="3"/>
  <c r="BS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X116" i="3"/>
  <c r="AD116" i="3" s="1"/>
  <c r="AC116" i="3" s="1"/>
  <c r="AY116" i="3" s="1"/>
  <c r="AA116" i="3"/>
  <c r="G116" i="3"/>
  <c r="DK115" i="3"/>
  <c r="DJ115" i="3"/>
  <c r="DH115" i="3"/>
  <c r="DG115" i="3"/>
  <c r="DF115" i="3"/>
  <c r="DE115" i="3"/>
  <c r="DD115" i="3"/>
  <c r="DB115" i="3"/>
  <c r="DA115" i="3"/>
  <c r="CZ115" i="3"/>
  <c r="CY115" i="3"/>
  <c r="CY133" i="3" s="1"/>
  <c r="CX115" i="3"/>
  <c r="CW115" i="3"/>
  <c r="CV115" i="3"/>
  <c r="CT115" i="3"/>
  <c r="CS115" i="3"/>
  <c r="CP115" i="3"/>
  <c r="CG115" i="3"/>
  <c r="DC115" i="3" s="1"/>
  <c r="BY115" i="3"/>
  <c r="CU115" i="3" s="1"/>
  <c r="BS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B115" i="3"/>
  <c r="BA115" i="3"/>
  <c r="AX115" i="3"/>
  <c r="AG115" i="3"/>
  <c r="AA115" i="3"/>
  <c r="DL114" i="3"/>
  <c r="DK114" i="3"/>
  <c r="DJ114" i="3"/>
  <c r="DH114" i="3"/>
  <c r="DG114" i="3"/>
  <c r="DF114" i="3"/>
  <c r="DE114" i="3"/>
  <c r="DD114" i="3"/>
  <c r="DC114" i="3"/>
  <c r="DB114" i="3"/>
  <c r="DA114" i="3"/>
  <c r="CZ114" i="3"/>
  <c r="CY114" i="3"/>
  <c r="CX114" i="3"/>
  <c r="CW114" i="3"/>
  <c r="CV114" i="3"/>
  <c r="CT114" i="3"/>
  <c r="CS114" i="3"/>
  <c r="BY114" i="3"/>
  <c r="BT114" i="3"/>
  <c r="BS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B114" i="3"/>
  <c r="BA114" i="3"/>
  <c r="AG114" i="3"/>
  <c r="BC114" i="3" s="1"/>
  <c r="G114" i="3"/>
  <c r="DL113" i="3"/>
  <c r="DK113" i="3"/>
  <c r="DJ113" i="3"/>
  <c r="DH113" i="3"/>
  <c r="DG113" i="3"/>
  <c r="DF113" i="3"/>
  <c r="DE113" i="3"/>
  <c r="DD113" i="3"/>
  <c r="DC113" i="3"/>
  <c r="DB113" i="3"/>
  <c r="DA113" i="3"/>
  <c r="CZ113" i="3"/>
  <c r="CY113" i="3"/>
  <c r="CX113" i="3"/>
  <c r="CW113" i="3"/>
  <c r="CV113" i="3"/>
  <c r="CT113" i="3"/>
  <c r="CS113" i="3"/>
  <c r="BY113" i="3"/>
  <c r="CU113" i="3" s="1"/>
  <c r="BT113" i="3"/>
  <c r="BS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B113" i="3"/>
  <c r="BA113" i="3"/>
  <c r="AG113" i="3"/>
  <c r="BC113" i="3" s="1"/>
  <c r="AD113" i="3"/>
  <c r="AC113" i="3" s="1"/>
  <c r="AY113" i="3" s="1"/>
  <c r="G113" i="3"/>
  <c r="DK112" i="3"/>
  <c r="DJ112" i="3"/>
  <c r="DJ133" i="3" s="1"/>
  <c r="DH112" i="3"/>
  <c r="DG112" i="3"/>
  <c r="DF112" i="3"/>
  <c r="DE112" i="3"/>
  <c r="DD112" i="3"/>
  <c r="DD133" i="3" s="1"/>
  <c r="DB112" i="3"/>
  <c r="DA112" i="3"/>
  <c r="CZ112" i="3"/>
  <c r="CZ133" i="3" s="1"/>
  <c r="CY112" i="3"/>
  <c r="CX112" i="3"/>
  <c r="CW112" i="3"/>
  <c r="CV112" i="3"/>
  <c r="CT112" i="3"/>
  <c r="CT133" i="3" s="1"/>
  <c r="CS112" i="3"/>
  <c r="CP112" i="3"/>
  <c r="BY112" i="3"/>
  <c r="BS112" i="3"/>
  <c r="BP112" i="3"/>
  <c r="BO112" i="3"/>
  <c r="BN112" i="3"/>
  <c r="BM112" i="3"/>
  <c r="BL112" i="3"/>
  <c r="BJ112" i="3"/>
  <c r="BI112" i="3"/>
  <c r="BH112" i="3"/>
  <c r="BG112" i="3"/>
  <c r="BF112" i="3"/>
  <c r="BE112" i="3"/>
  <c r="BD112" i="3"/>
  <c r="BB112" i="3"/>
  <c r="BA112" i="3"/>
  <c r="AX112" i="3"/>
  <c r="AO112" i="3"/>
  <c r="AO133" i="3" s="1"/>
  <c r="AG112" i="3"/>
  <c r="AA112" i="3"/>
  <c r="R112" i="3"/>
  <c r="DL111" i="3"/>
  <c r="DK111" i="3"/>
  <c r="DJ111" i="3"/>
  <c r="DH111" i="3"/>
  <c r="DG111" i="3"/>
  <c r="DF111" i="3"/>
  <c r="DE111" i="3"/>
  <c r="DD111" i="3"/>
  <c r="DB111" i="3"/>
  <c r="DA111" i="3"/>
  <c r="CZ111" i="3"/>
  <c r="CY111" i="3"/>
  <c r="CX111" i="3"/>
  <c r="CW111" i="3"/>
  <c r="CU111" i="3"/>
  <c r="CT111" i="3"/>
  <c r="CS111" i="3"/>
  <c r="CG111" i="3"/>
  <c r="BZ111" i="3"/>
  <c r="BT111" i="3"/>
  <c r="BS111" i="3"/>
  <c r="BP111" i="3"/>
  <c r="BO111" i="3"/>
  <c r="BN111" i="3"/>
  <c r="BM111" i="3"/>
  <c r="BL111" i="3"/>
  <c r="BJ111" i="3"/>
  <c r="BI111" i="3"/>
  <c r="BH111" i="3"/>
  <c r="BG111" i="3"/>
  <c r="BF111" i="3"/>
  <c r="BE111" i="3"/>
  <c r="BC111" i="3"/>
  <c r="BB111" i="3"/>
  <c r="BA111" i="3"/>
  <c r="AO111" i="3"/>
  <c r="AH111" i="3"/>
  <c r="R111" i="3"/>
  <c r="DK110" i="3"/>
  <c r="DJ110" i="3"/>
  <c r="DH110" i="3"/>
  <c r="DG110" i="3"/>
  <c r="DF110" i="3"/>
  <c r="DE110" i="3"/>
  <c r="DD110" i="3"/>
  <c r="DA110" i="3"/>
  <c r="CZ110" i="3"/>
  <c r="CY110" i="3"/>
  <c r="CX110" i="3"/>
  <c r="CW110" i="3"/>
  <c r="CT110" i="3"/>
  <c r="CS110" i="3"/>
  <c r="CP110" i="3"/>
  <c r="CG110" i="3"/>
  <c r="BZ110" i="3"/>
  <c r="BY110" i="3"/>
  <c r="CU110" i="3" s="1"/>
  <c r="BS110" i="3"/>
  <c r="BP110" i="3"/>
  <c r="BO110" i="3"/>
  <c r="BN110" i="3"/>
  <c r="BM110" i="3"/>
  <c r="BL110" i="3"/>
  <c r="BI110" i="3"/>
  <c r="BH110" i="3"/>
  <c r="BG110" i="3"/>
  <c r="BF110" i="3"/>
  <c r="BE110" i="3"/>
  <c r="BC110" i="3"/>
  <c r="BB110" i="3"/>
  <c r="BA110" i="3"/>
  <c r="AX110" i="3"/>
  <c r="AO110" i="3"/>
  <c r="AH110" i="3"/>
  <c r="AG110" i="3"/>
  <c r="AA110" i="3"/>
  <c r="R110" i="3"/>
  <c r="Q110" i="3"/>
  <c r="DK109" i="3"/>
  <c r="DJ109" i="3"/>
  <c r="DH109" i="3"/>
  <c r="DH128" i="3" s="1"/>
  <c r="DG109" i="3"/>
  <c r="DF109" i="3"/>
  <c r="DE109" i="3"/>
  <c r="DD109" i="3"/>
  <c r="DB109" i="3"/>
  <c r="CY109" i="3"/>
  <c r="CX109" i="3"/>
  <c r="CW109" i="3"/>
  <c r="CT109" i="3"/>
  <c r="CS109" i="3"/>
  <c r="BY109" i="3"/>
  <c r="BV109" i="3" s="1"/>
  <c r="BS109" i="3"/>
  <c r="BP109" i="3"/>
  <c r="BO109" i="3"/>
  <c r="BN109" i="3"/>
  <c r="BM109" i="3"/>
  <c r="BL109" i="3"/>
  <c r="BJ109" i="3"/>
  <c r="BF109" i="3"/>
  <c r="BE109" i="3"/>
  <c r="BE132" i="3" s="1"/>
  <c r="BB109" i="3"/>
  <c r="BA109" i="3"/>
  <c r="AG109" i="3"/>
  <c r="AD109" i="3" s="1"/>
  <c r="AA109" i="3"/>
  <c r="DL109" i="3" s="1"/>
  <c r="R109" i="3"/>
  <c r="P109" i="3"/>
  <c r="P132" i="3" s="1"/>
  <c r="O109" i="3"/>
  <c r="BH109" i="3" s="1"/>
  <c r="N109" i="3"/>
  <c r="N132" i="3" s="1"/>
  <c r="K109" i="3"/>
  <c r="BD109" i="3" s="1"/>
  <c r="J109" i="3"/>
  <c r="G109" i="3" s="1"/>
  <c r="DI108" i="3"/>
  <c r="CO108" i="3"/>
  <c r="CN108" i="3"/>
  <c r="CJ108" i="3"/>
  <c r="CI108" i="3"/>
  <c r="CH108" i="3"/>
  <c r="CG108" i="3"/>
  <c r="CF108" i="3"/>
  <c r="CE108" i="3"/>
  <c r="CD108" i="3"/>
  <c r="CB108" i="3"/>
  <c r="CA108" i="3"/>
  <c r="BY108" i="3"/>
  <c r="BX108" i="3"/>
  <c r="BW108" i="3"/>
  <c r="BQ108" i="3"/>
  <c r="AW108" i="3"/>
  <c r="AV108" i="3"/>
  <c r="AU108" i="3"/>
  <c r="AR108" i="3"/>
  <c r="AQ108" i="3"/>
  <c r="AP108" i="3"/>
  <c r="AO108" i="3"/>
  <c r="AN108" i="3"/>
  <c r="AM108" i="3"/>
  <c r="AL108" i="3"/>
  <c r="AK108" i="3"/>
  <c r="AJ108" i="3"/>
  <c r="AH108" i="3"/>
  <c r="Z108" i="3"/>
  <c r="Y108" i="3"/>
  <c r="X108" i="3"/>
  <c r="W108" i="3"/>
  <c r="U108" i="3"/>
  <c r="T108" i="3"/>
  <c r="S108" i="3"/>
  <c r="R108" i="3"/>
  <c r="Q108" i="3"/>
  <c r="P108" i="3"/>
  <c r="O108" i="3"/>
  <c r="N108" i="3"/>
  <c r="M108" i="3"/>
  <c r="L108" i="3"/>
  <c r="K108" i="3"/>
  <c r="I108" i="3"/>
  <c r="H108" i="3"/>
  <c r="DL107" i="3"/>
  <c r="DK107" i="3"/>
  <c r="DJ107" i="3"/>
  <c r="DH107" i="3"/>
  <c r="DF107" i="3"/>
  <c r="DE107" i="3"/>
  <c r="DD107" i="3"/>
  <c r="DC107" i="3"/>
  <c r="DB107" i="3"/>
  <c r="DA107" i="3"/>
  <c r="CZ107" i="3"/>
  <c r="CY107" i="3"/>
  <c r="CX107" i="3"/>
  <c r="CW107" i="3"/>
  <c r="CV107" i="3"/>
  <c r="CT107" i="3"/>
  <c r="CS107" i="3"/>
  <c r="CK107" i="3"/>
  <c r="CK140" i="3" s="1"/>
  <c r="BT107" i="3"/>
  <c r="BS107" i="3"/>
  <c r="BP107" i="3"/>
  <c r="BN107" i="3"/>
  <c r="BM107" i="3"/>
  <c r="BL107" i="3"/>
  <c r="BK107" i="3"/>
  <c r="BJ107" i="3"/>
  <c r="BI107" i="3"/>
  <c r="BH107" i="3"/>
  <c r="BG107" i="3"/>
  <c r="BF107" i="3"/>
  <c r="BE107" i="3"/>
  <c r="BD107" i="3"/>
  <c r="BB107" i="3"/>
  <c r="BA107" i="3"/>
  <c r="AS107" i="3"/>
  <c r="V107" i="3"/>
  <c r="J107" i="3"/>
  <c r="CU107" i="3" s="1"/>
  <c r="DL106" i="3"/>
  <c r="DK106" i="3"/>
  <c r="DJ106" i="3"/>
  <c r="DG106" i="3"/>
  <c r="DF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L106" i="3"/>
  <c r="BT106" i="3"/>
  <c r="BS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T106" i="3"/>
  <c r="BP106" i="3" s="1"/>
  <c r="G106" i="3"/>
  <c r="DL105" i="3"/>
  <c r="DK105" i="3"/>
  <c r="DJ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L105" i="3"/>
  <c r="BV105" i="3" s="1"/>
  <c r="BU105" i="3" s="1"/>
  <c r="CQ105" i="3" s="1"/>
  <c r="BT105" i="3"/>
  <c r="BS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T105" i="3"/>
  <c r="BP105" i="3" s="1"/>
  <c r="G105" i="3"/>
  <c r="DL104" i="3"/>
  <c r="DK104" i="3"/>
  <c r="DJ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S104" i="3"/>
  <c r="BX104" i="3"/>
  <c r="CT104" i="3" s="1"/>
  <c r="BT104" i="3"/>
  <c r="BS104" i="3"/>
  <c r="BO104" i="3"/>
  <c r="BN104" i="3"/>
  <c r="BM104" i="3"/>
  <c r="BL104" i="3"/>
  <c r="BK104" i="3"/>
  <c r="BJ104" i="3"/>
  <c r="BI104" i="3"/>
  <c r="BH104" i="3"/>
  <c r="BG104" i="3"/>
  <c r="BF104" i="3"/>
  <c r="BD104" i="3"/>
  <c r="BC104" i="3"/>
  <c r="BA104" i="3"/>
  <c r="AT104" i="3"/>
  <c r="BP104" i="3" s="1"/>
  <c r="AI104" i="3"/>
  <c r="AI140" i="3" s="1"/>
  <c r="AG104" i="3"/>
  <c r="AG140" i="3" s="1"/>
  <c r="AF104" i="3"/>
  <c r="G104" i="3"/>
  <c r="DK103" i="3"/>
  <c r="DJ103" i="3"/>
  <c r="DG103" i="3"/>
  <c r="DF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P103" i="3"/>
  <c r="CL103" i="3"/>
  <c r="BS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X103" i="3"/>
  <c r="AT103" i="3"/>
  <c r="BP103" i="3" s="1"/>
  <c r="AA103" i="3"/>
  <c r="G103" i="3" s="1"/>
  <c r="DK102" i="3"/>
  <c r="DJ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P102" i="3"/>
  <c r="CL102" i="3"/>
  <c r="BV102" i="3" s="1"/>
  <c r="BS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X102" i="3"/>
  <c r="AT102" i="3"/>
  <c r="BP102" i="3" s="1"/>
  <c r="AA102" i="3"/>
  <c r="DK101" i="3"/>
  <c r="DJ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L101" i="3"/>
  <c r="DH101" i="3" s="1"/>
  <c r="BS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T101" i="3"/>
  <c r="AD101" i="3" s="1"/>
  <c r="AA101" i="3"/>
  <c r="G101" i="3" s="1"/>
  <c r="DL100" i="3"/>
  <c r="DK100" i="3"/>
  <c r="DJ100" i="3"/>
  <c r="DG100" i="3"/>
  <c r="DF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S100" i="3"/>
  <c r="CL100" i="3"/>
  <c r="DH100" i="3" s="1"/>
  <c r="BV100" i="3"/>
  <c r="BU100" i="3" s="1"/>
  <c r="CQ100" i="3" s="1"/>
  <c r="BT100" i="3"/>
  <c r="BS100" i="3"/>
  <c r="BR100" i="3"/>
  <c r="BR108" i="3" s="1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T100" i="3"/>
  <c r="BP100" i="3" s="1"/>
  <c r="G100" i="3"/>
  <c r="DL99" i="3"/>
  <c r="DK99" i="3"/>
  <c r="DJ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S99" i="3"/>
  <c r="BV99" i="3"/>
  <c r="BT99" i="3"/>
  <c r="BS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D99" i="3"/>
  <c r="G99" i="3"/>
  <c r="DL98" i="3"/>
  <c r="DK98" i="3"/>
  <c r="DJ98" i="3"/>
  <c r="DG98" i="3"/>
  <c r="DF98" i="3"/>
  <c r="DE98" i="3"/>
  <c r="DD98" i="3"/>
  <c r="DC98" i="3"/>
  <c r="DB98" i="3"/>
  <c r="DA98" i="3"/>
  <c r="CZ98" i="3"/>
  <c r="CY98" i="3"/>
  <c r="CX98" i="3"/>
  <c r="CW98" i="3"/>
  <c r="CV98" i="3"/>
  <c r="CU98" i="3"/>
  <c r="CT98" i="3"/>
  <c r="CS98" i="3"/>
  <c r="CL98" i="3"/>
  <c r="DH98" i="3" s="1"/>
  <c r="BT98" i="3"/>
  <c r="BS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T98" i="3"/>
  <c r="G98" i="3"/>
  <c r="DL97" i="3"/>
  <c r="DK97" i="3"/>
  <c r="DJ97" i="3"/>
  <c r="DG97" i="3"/>
  <c r="DF97" i="3"/>
  <c r="DE97" i="3"/>
  <c r="DD97" i="3"/>
  <c r="DC97" i="3"/>
  <c r="DB97" i="3"/>
  <c r="DA97" i="3"/>
  <c r="CZ97" i="3"/>
  <c r="CY97" i="3"/>
  <c r="CX97" i="3"/>
  <c r="CW97" i="3"/>
  <c r="CV97" i="3"/>
  <c r="CU97" i="3"/>
  <c r="CT97" i="3"/>
  <c r="CS97" i="3"/>
  <c r="CL97" i="3"/>
  <c r="DH97" i="3" s="1"/>
  <c r="BT97" i="3"/>
  <c r="BS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T97" i="3"/>
  <c r="AD97" i="3" s="1"/>
  <c r="G97" i="3"/>
  <c r="DK96" i="3"/>
  <c r="DJ96" i="3"/>
  <c r="DH96" i="3"/>
  <c r="DG96" i="3"/>
  <c r="DF96" i="3"/>
  <c r="DE96" i="3"/>
  <c r="DD96" i="3"/>
  <c r="DC96" i="3"/>
  <c r="DB96" i="3"/>
  <c r="DA96" i="3"/>
  <c r="CZ96" i="3"/>
  <c r="CY96" i="3"/>
  <c r="CX96" i="3"/>
  <c r="CW96" i="3"/>
  <c r="CV96" i="3"/>
  <c r="CU96" i="3"/>
  <c r="CT96" i="3"/>
  <c r="CS96" i="3"/>
  <c r="CP96" i="3"/>
  <c r="BV96" i="3" s="1"/>
  <c r="BS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X96" i="3"/>
  <c r="AT96" i="3"/>
  <c r="BP96" i="3" s="1"/>
  <c r="AD96" i="3"/>
  <c r="AA96" i="3"/>
  <c r="DL95" i="3"/>
  <c r="DK95" i="3"/>
  <c r="DJ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L95" i="3"/>
  <c r="DH95" i="3" s="1"/>
  <c r="BT95" i="3"/>
  <c r="BS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T95" i="3"/>
  <c r="G95" i="3"/>
  <c r="DL94" i="3"/>
  <c r="DK94" i="3"/>
  <c r="DJ94" i="3"/>
  <c r="DG94" i="3"/>
  <c r="DF94" i="3"/>
  <c r="DE94" i="3"/>
  <c r="DD94" i="3"/>
  <c r="DC94" i="3"/>
  <c r="DB94" i="3"/>
  <c r="DA94" i="3"/>
  <c r="CZ94" i="3"/>
  <c r="CY94" i="3"/>
  <c r="CX94" i="3"/>
  <c r="CW94" i="3"/>
  <c r="CV94" i="3"/>
  <c r="CU94" i="3"/>
  <c r="CT94" i="3"/>
  <c r="CS94" i="3"/>
  <c r="CL94" i="3"/>
  <c r="DH94" i="3" s="1"/>
  <c r="BT94" i="3"/>
  <c r="BS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T94" i="3"/>
  <c r="AD94" i="3" s="1"/>
  <c r="G94" i="3"/>
  <c r="DL93" i="3"/>
  <c r="DK93" i="3"/>
  <c r="DK108" i="3" s="1"/>
  <c r="DJ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L93" i="3"/>
  <c r="BT93" i="3"/>
  <c r="BS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T93" i="3"/>
  <c r="G93" i="3"/>
  <c r="DI91" i="3"/>
  <c r="CO91" i="3"/>
  <c r="CN91" i="3"/>
  <c r="CL91" i="3"/>
  <c r="CK91" i="3"/>
  <c r="CJ91" i="3"/>
  <c r="CG91" i="3"/>
  <c r="CF91" i="3"/>
  <c r="CE91" i="3"/>
  <c r="CD91" i="3"/>
  <c r="CC91" i="3"/>
  <c r="BZ91" i="3"/>
  <c r="BY91" i="3"/>
  <c r="BX91" i="3"/>
  <c r="BW91" i="3"/>
  <c r="BQ91" i="3"/>
  <c r="AW91" i="3"/>
  <c r="AV91" i="3"/>
  <c r="AU91" i="3"/>
  <c r="AT91" i="3"/>
  <c r="AS91" i="3"/>
  <c r="AR91" i="3"/>
  <c r="AO91" i="3"/>
  <c r="AN91" i="3"/>
  <c r="AM91" i="3"/>
  <c r="AL91" i="3"/>
  <c r="AK91" i="3"/>
  <c r="AH91" i="3"/>
  <c r="AG91" i="3"/>
  <c r="AF91" i="3"/>
  <c r="Z91" i="3"/>
  <c r="Y91" i="3"/>
  <c r="X91" i="3"/>
  <c r="W91" i="3"/>
  <c r="V91" i="3"/>
  <c r="U91" i="3"/>
  <c r="S91" i="3"/>
  <c r="R91" i="3"/>
  <c r="Q91" i="3"/>
  <c r="P91" i="3"/>
  <c r="O91" i="3"/>
  <c r="N91" i="3"/>
  <c r="K91" i="3"/>
  <c r="J91" i="3"/>
  <c r="I91" i="3"/>
  <c r="H91" i="3"/>
  <c r="DK90" i="3"/>
  <c r="DJ90" i="3"/>
  <c r="DH90" i="3"/>
  <c r="DG90" i="3"/>
  <c r="DF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P90" i="3"/>
  <c r="BV90" i="3" s="1"/>
  <c r="BS90" i="3"/>
  <c r="BR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X90" i="3"/>
  <c r="AD90" i="3" s="1"/>
  <c r="AA90" i="3"/>
  <c r="DL89" i="3"/>
  <c r="DK89" i="3"/>
  <c r="DJ89" i="3"/>
  <c r="DH89" i="3"/>
  <c r="DG89" i="3"/>
  <c r="DF89" i="3"/>
  <c r="DD89" i="3"/>
  <c r="DC89" i="3"/>
  <c r="DB89" i="3"/>
  <c r="DA89" i="3"/>
  <c r="CZ89" i="3"/>
  <c r="CY89" i="3"/>
  <c r="CX89" i="3"/>
  <c r="CV89" i="3"/>
  <c r="CU89" i="3"/>
  <c r="CT89" i="3"/>
  <c r="CS89" i="3"/>
  <c r="CI89" i="3"/>
  <c r="DE89" i="3" s="1"/>
  <c r="CA89" i="3"/>
  <c r="CW89" i="3" s="1"/>
  <c r="BT89" i="3"/>
  <c r="BS89" i="3"/>
  <c r="BR89" i="3"/>
  <c r="BP89" i="3"/>
  <c r="BO89" i="3"/>
  <c r="BN89" i="3"/>
  <c r="BL89" i="3"/>
  <c r="BK89" i="3"/>
  <c r="BJ89" i="3"/>
  <c r="BI89" i="3"/>
  <c r="BH89" i="3"/>
  <c r="BG89" i="3"/>
  <c r="BF89" i="3"/>
  <c r="BD89" i="3"/>
  <c r="BC89" i="3"/>
  <c r="BB89" i="3"/>
  <c r="BA89" i="3"/>
  <c r="AQ89" i="3"/>
  <c r="BM89" i="3" s="1"/>
  <c r="AI89" i="3"/>
  <c r="BE89" i="3" s="1"/>
  <c r="G89" i="3"/>
  <c r="DK88" i="3"/>
  <c r="DJ88" i="3"/>
  <c r="DH88" i="3"/>
  <c r="DG88" i="3"/>
  <c r="DF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S88" i="3"/>
  <c r="BV88" i="3"/>
  <c r="BS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BA88" i="3"/>
  <c r="AD88" i="3"/>
  <c r="AA88" i="3"/>
  <c r="DL87" i="3"/>
  <c r="DK87" i="3"/>
  <c r="DJ87" i="3"/>
  <c r="DH87" i="3"/>
  <c r="DG87" i="3"/>
  <c r="DF87" i="3"/>
  <c r="DE87" i="3"/>
  <c r="DD87" i="3"/>
  <c r="DC87" i="3"/>
  <c r="DB87" i="3"/>
  <c r="DA87" i="3"/>
  <c r="CZ87" i="3"/>
  <c r="CY87" i="3"/>
  <c r="CX87" i="3"/>
  <c r="CV87" i="3"/>
  <c r="CU87" i="3"/>
  <c r="CT87" i="3"/>
  <c r="CS87" i="3"/>
  <c r="CA87" i="3"/>
  <c r="BV87" i="3" s="1"/>
  <c r="BT87" i="3"/>
  <c r="BS87" i="3"/>
  <c r="BP87" i="3"/>
  <c r="BO87" i="3"/>
  <c r="BN87" i="3"/>
  <c r="BM87" i="3"/>
  <c r="BL87" i="3"/>
  <c r="BK87" i="3"/>
  <c r="BJ87" i="3"/>
  <c r="BI87" i="3"/>
  <c r="BH87" i="3"/>
  <c r="BG87" i="3"/>
  <c r="BF87" i="3"/>
  <c r="BD87" i="3"/>
  <c r="BC87" i="3"/>
  <c r="BB87" i="3"/>
  <c r="BA87" i="3"/>
  <c r="AI87" i="3"/>
  <c r="BE87" i="3" s="1"/>
  <c r="G87" i="3"/>
  <c r="DL86" i="3"/>
  <c r="DK86" i="3"/>
  <c r="DJ86" i="3"/>
  <c r="DH86" i="3"/>
  <c r="DG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A86" i="3"/>
  <c r="BV86" i="3" s="1"/>
  <c r="BT86" i="3"/>
  <c r="BS86" i="3"/>
  <c r="BP86" i="3"/>
  <c r="BO86" i="3"/>
  <c r="BN86" i="3"/>
  <c r="BM86" i="3"/>
  <c r="BL86" i="3"/>
  <c r="BK86" i="3"/>
  <c r="BJ86" i="3"/>
  <c r="BI86" i="3"/>
  <c r="BH86" i="3"/>
  <c r="BG86" i="3"/>
  <c r="BF86" i="3"/>
  <c r="BD86" i="3"/>
  <c r="BC86" i="3"/>
  <c r="BB86" i="3"/>
  <c r="BA86" i="3"/>
  <c r="AI86" i="3"/>
  <c r="BE86" i="3" s="1"/>
  <c r="G86" i="3"/>
  <c r="DL85" i="3"/>
  <c r="DK85" i="3"/>
  <c r="DJ85" i="3"/>
  <c r="DH85" i="3"/>
  <c r="DG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BV85" i="3"/>
  <c r="BT85" i="3"/>
  <c r="BS85" i="3"/>
  <c r="BR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D85" i="3"/>
  <c r="G85" i="3"/>
  <c r="DL84" i="3"/>
  <c r="DK84" i="3"/>
  <c r="DJ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BV84" i="3"/>
  <c r="BU84" i="3" s="1"/>
  <c r="CQ84" i="3" s="1"/>
  <c r="BT84" i="3"/>
  <c r="BS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D84" i="3"/>
  <c r="AC84" i="3" s="1"/>
  <c r="AY84" i="3" s="1"/>
  <c r="G84" i="3"/>
  <c r="DL83" i="3"/>
  <c r="DK83" i="3"/>
  <c r="DJ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I83" i="3"/>
  <c r="BV83" i="3" s="1"/>
  <c r="BU83" i="3" s="1"/>
  <c r="CQ83" i="3" s="1"/>
  <c r="BT83" i="3"/>
  <c r="BS83" i="3"/>
  <c r="BR83" i="3"/>
  <c r="BP83" i="3"/>
  <c r="BO83" i="3"/>
  <c r="BN83" i="3"/>
  <c r="BM83" i="3"/>
  <c r="BL83" i="3"/>
  <c r="BK83" i="3"/>
  <c r="BJ83" i="3"/>
  <c r="BI83" i="3"/>
  <c r="BH83" i="3"/>
  <c r="BG83" i="3"/>
  <c r="BF83" i="3"/>
  <c r="BD83" i="3"/>
  <c r="BC83" i="3"/>
  <c r="BB83" i="3"/>
  <c r="BA83" i="3"/>
  <c r="AQ83" i="3"/>
  <c r="AI83" i="3"/>
  <c r="G83" i="3"/>
  <c r="DL82" i="3"/>
  <c r="DK82" i="3"/>
  <c r="DJ82" i="3"/>
  <c r="DH82" i="3"/>
  <c r="DG82" i="3"/>
  <c r="DF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BV82" i="3"/>
  <c r="BT82" i="3"/>
  <c r="BS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D82" i="3"/>
  <c r="T82" i="3"/>
  <c r="T137" i="3" s="1"/>
  <c r="DL81" i="3"/>
  <c r="DK81" i="3"/>
  <c r="DJ81" i="3"/>
  <c r="DH81" i="3"/>
  <c r="DG81" i="3"/>
  <c r="DF81" i="3"/>
  <c r="DE81" i="3"/>
  <c r="DD81" i="3"/>
  <c r="DC81" i="3"/>
  <c r="DB81" i="3"/>
  <c r="DA81" i="3"/>
  <c r="CZ81" i="3"/>
  <c r="CY81" i="3"/>
  <c r="CX81" i="3"/>
  <c r="CV81" i="3"/>
  <c r="CU81" i="3"/>
  <c r="CT81" i="3"/>
  <c r="CS81" i="3"/>
  <c r="CA81" i="3"/>
  <c r="BT81" i="3"/>
  <c r="BS81" i="3"/>
  <c r="BP81" i="3"/>
  <c r="BO81" i="3"/>
  <c r="BN81" i="3"/>
  <c r="BM81" i="3"/>
  <c r="BL81" i="3"/>
  <c r="BK81" i="3"/>
  <c r="BJ81" i="3"/>
  <c r="BI81" i="3"/>
  <c r="BH81" i="3"/>
  <c r="BG81" i="3"/>
  <c r="BF81" i="3"/>
  <c r="BD81" i="3"/>
  <c r="BC81" i="3"/>
  <c r="BB81" i="3"/>
  <c r="BA81" i="3"/>
  <c r="AI81" i="3"/>
  <c r="AD81" i="3" s="1"/>
  <c r="AC81" i="3" s="1"/>
  <c r="AY81" i="3" s="1"/>
  <c r="G81" i="3"/>
  <c r="DL80" i="3"/>
  <c r="DK80" i="3"/>
  <c r="DJ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BV80" i="3"/>
  <c r="BU80" i="3" s="1"/>
  <c r="CQ80" i="3" s="1"/>
  <c r="BT80" i="3"/>
  <c r="BS80" i="3"/>
  <c r="BP80" i="3"/>
  <c r="BO80" i="3"/>
  <c r="BN80" i="3"/>
  <c r="BM80" i="3"/>
  <c r="BL80" i="3"/>
  <c r="BK80" i="3"/>
  <c r="BJ80" i="3"/>
  <c r="BI80" i="3"/>
  <c r="BH80" i="3"/>
  <c r="BG80" i="3"/>
  <c r="BF80" i="3"/>
  <c r="BD80" i="3"/>
  <c r="BC80" i="3"/>
  <c r="BB80" i="3"/>
  <c r="BA80" i="3"/>
  <c r="AI80" i="3"/>
  <c r="AD80" i="3" s="1"/>
  <c r="AC80" i="3" s="1"/>
  <c r="AY80" i="3" s="1"/>
  <c r="G80" i="3"/>
  <c r="DL79" i="3"/>
  <c r="DK79" i="3"/>
  <c r="DJ79" i="3"/>
  <c r="DH79" i="3"/>
  <c r="DG79" i="3"/>
  <c r="DF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BV79" i="3"/>
  <c r="BU79" i="3" s="1"/>
  <c r="CQ79" i="3" s="1"/>
  <c r="BT79" i="3"/>
  <c r="BS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BA79" i="3"/>
  <c r="AD79" i="3"/>
  <c r="G79" i="3"/>
  <c r="DL78" i="3"/>
  <c r="DK78" i="3"/>
  <c r="DJ78" i="3"/>
  <c r="DH78" i="3"/>
  <c r="DG78" i="3"/>
  <c r="DF78" i="3"/>
  <c r="DE78" i="3"/>
  <c r="DD78" i="3"/>
  <c r="DC78" i="3"/>
  <c r="DB78" i="3"/>
  <c r="DA78" i="3"/>
  <c r="CZ78" i="3"/>
  <c r="CY78" i="3"/>
  <c r="CX78" i="3"/>
  <c r="CV78" i="3"/>
  <c r="CU78" i="3"/>
  <c r="CT78" i="3"/>
  <c r="CS78" i="3"/>
  <c r="CA78" i="3"/>
  <c r="BT78" i="3"/>
  <c r="BS78" i="3"/>
  <c r="BP78" i="3"/>
  <c r="BO78" i="3"/>
  <c r="BN78" i="3"/>
  <c r="BM78" i="3"/>
  <c r="BL78" i="3"/>
  <c r="BK78" i="3"/>
  <c r="BJ78" i="3"/>
  <c r="BI78" i="3"/>
  <c r="BH78" i="3"/>
  <c r="BG78" i="3"/>
  <c r="BF78" i="3"/>
  <c r="BD78" i="3"/>
  <c r="BC78" i="3"/>
  <c r="BB78" i="3"/>
  <c r="BA78" i="3"/>
  <c r="AI78" i="3"/>
  <c r="G78" i="3"/>
  <c r="DL77" i="3"/>
  <c r="DH77" i="3"/>
  <c r="DG77" i="3"/>
  <c r="DF77" i="3"/>
  <c r="DE77" i="3"/>
  <c r="DD77" i="3"/>
  <c r="DC77" i="3"/>
  <c r="CW77" i="3"/>
  <c r="CV77" i="3"/>
  <c r="CU77" i="3"/>
  <c r="CT77" i="3"/>
  <c r="CS77" i="3"/>
  <c r="CA77" i="3"/>
  <c r="BV77" i="3"/>
  <c r="BT77" i="3"/>
  <c r="BS77" i="3"/>
  <c r="BP77" i="3"/>
  <c r="BO77" i="3"/>
  <c r="BN77" i="3"/>
  <c r="BM77" i="3"/>
  <c r="BL77" i="3"/>
  <c r="BK77" i="3"/>
  <c r="BE77" i="3"/>
  <c r="BD77" i="3"/>
  <c r="BC77" i="3"/>
  <c r="BB77" i="3"/>
  <c r="BA77" i="3"/>
  <c r="AI77" i="3"/>
  <c r="AD77" i="3" s="1"/>
  <c r="G77" i="3"/>
  <c r="DL76" i="3"/>
  <c r="DH76" i="3"/>
  <c r="DG76" i="3"/>
  <c r="DF76" i="3"/>
  <c r="DE76" i="3"/>
  <c r="DD76" i="3"/>
  <c r="DC76" i="3"/>
  <c r="CW76" i="3"/>
  <c r="CV76" i="3"/>
  <c r="CU76" i="3"/>
  <c r="CT76" i="3"/>
  <c r="CS76" i="3"/>
  <c r="BV76" i="3"/>
  <c r="BT76" i="3"/>
  <c r="BS76" i="3"/>
  <c r="BP76" i="3"/>
  <c r="BO76" i="3"/>
  <c r="BN76" i="3"/>
  <c r="BM76" i="3"/>
  <c r="BL76" i="3"/>
  <c r="BK76" i="3"/>
  <c r="BD76" i="3"/>
  <c r="BC76" i="3"/>
  <c r="BB76" i="3"/>
  <c r="BA76" i="3"/>
  <c r="AI76" i="3"/>
  <c r="AD76" i="3" s="1"/>
  <c r="L76" i="3"/>
  <c r="G76" i="3" s="1"/>
  <c r="DL75" i="3"/>
  <c r="DH75" i="3"/>
  <c r="DG75" i="3"/>
  <c r="DF75" i="3"/>
  <c r="DE75" i="3"/>
  <c r="DD75" i="3"/>
  <c r="DC75" i="3"/>
  <c r="CW75" i="3"/>
  <c r="CV75" i="3"/>
  <c r="CU75" i="3"/>
  <c r="CT75" i="3"/>
  <c r="CS75" i="3"/>
  <c r="BV75" i="3"/>
  <c r="BT75" i="3"/>
  <c r="BS75" i="3"/>
  <c r="BP75" i="3"/>
  <c r="BO75" i="3"/>
  <c r="BM75" i="3"/>
  <c r="BL75" i="3"/>
  <c r="BK75" i="3"/>
  <c r="BE75" i="3"/>
  <c r="BD75" i="3"/>
  <c r="BC75" i="3"/>
  <c r="BB75" i="3"/>
  <c r="BA75" i="3"/>
  <c r="AD75" i="3"/>
  <c r="G75" i="3"/>
  <c r="DL74" i="3"/>
  <c r="DH74" i="3"/>
  <c r="DG74" i="3"/>
  <c r="DF74" i="3"/>
  <c r="DE74" i="3"/>
  <c r="DD74" i="3"/>
  <c r="DC74" i="3"/>
  <c r="CW74" i="3"/>
  <c r="CV74" i="3"/>
  <c r="CU74" i="3"/>
  <c r="CT74" i="3"/>
  <c r="CS74" i="3"/>
  <c r="BV74" i="3"/>
  <c r="BU74" i="3"/>
  <c r="CQ74" i="3" s="1"/>
  <c r="BT74" i="3"/>
  <c r="BS74" i="3"/>
  <c r="BP74" i="3"/>
  <c r="BO74" i="3"/>
  <c r="BM74" i="3"/>
  <c r="BL74" i="3"/>
  <c r="BK74" i="3"/>
  <c r="BE74" i="3"/>
  <c r="BD74" i="3"/>
  <c r="BC74" i="3"/>
  <c r="BB74" i="3"/>
  <c r="BA74" i="3"/>
  <c r="AD74" i="3"/>
  <c r="G74" i="3"/>
  <c r="DK73" i="3"/>
  <c r="DJ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P73" i="3"/>
  <c r="BV73" i="3" s="1"/>
  <c r="BS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X73" i="3"/>
  <c r="AD73" i="3" s="1"/>
  <c r="AA73" i="3"/>
  <c r="DL72" i="3"/>
  <c r="DK72" i="3"/>
  <c r="DJ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S72" i="3"/>
  <c r="CA72" i="3"/>
  <c r="BV72" i="3" s="1"/>
  <c r="BT72" i="3"/>
  <c r="BS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I72" i="3"/>
  <c r="AD72" i="3"/>
  <c r="AC72" i="3" s="1"/>
  <c r="AY72" i="3" s="1"/>
  <c r="G72" i="3"/>
  <c r="DL71" i="3"/>
  <c r="DK71" i="3"/>
  <c r="DJ71" i="3"/>
  <c r="DH71" i="3"/>
  <c r="DG71" i="3"/>
  <c r="DF71" i="3"/>
  <c r="DE71" i="3"/>
  <c r="DD71" i="3"/>
  <c r="DC71" i="3"/>
  <c r="DB71" i="3"/>
  <c r="DA71" i="3"/>
  <c r="CZ71" i="3"/>
  <c r="CY71" i="3"/>
  <c r="CX71" i="3"/>
  <c r="CV71" i="3"/>
  <c r="CU71" i="3"/>
  <c r="CT71" i="3"/>
  <c r="CS71" i="3"/>
  <c r="BV71" i="3"/>
  <c r="BT71" i="3"/>
  <c r="BS71" i="3"/>
  <c r="BP71" i="3"/>
  <c r="BO71" i="3"/>
  <c r="BN71" i="3"/>
  <c r="BM71" i="3"/>
  <c r="BL71" i="3"/>
  <c r="BK71" i="3"/>
  <c r="BJ71" i="3"/>
  <c r="BI71" i="3"/>
  <c r="BH71" i="3"/>
  <c r="BG71" i="3"/>
  <c r="BF71" i="3"/>
  <c r="BD71" i="3"/>
  <c r="BC71" i="3"/>
  <c r="BB71" i="3"/>
  <c r="BA71" i="3"/>
  <c r="AD71" i="3"/>
  <c r="L71" i="3"/>
  <c r="BE71" i="3" s="1"/>
  <c r="DL70" i="3"/>
  <c r="DK70" i="3"/>
  <c r="DJ70" i="3"/>
  <c r="DH70" i="3"/>
  <c r="DG70" i="3"/>
  <c r="DF70" i="3"/>
  <c r="DE70" i="3"/>
  <c r="DD70" i="3"/>
  <c r="DC70" i="3"/>
  <c r="DB70" i="3"/>
  <c r="DA70" i="3"/>
  <c r="CZ70" i="3"/>
  <c r="CY70" i="3"/>
  <c r="CX70" i="3"/>
  <c r="CV70" i="3"/>
  <c r="CU70" i="3"/>
  <c r="CT70" i="3"/>
  <c r="CS70" i="3"/>
  <c r="CA70" i="3"/>
  <c r="BV70" i="3" s="1"/>
  <c r="BT70" i="3"/>
  <c r="BS70" i="3"/>
  <c r="BR70" i="3"/>
  <c r="BP70" i="3"/>
  <c r="BO70" i="3"/>
  <c r="BN70" i="3"/>
  <c r="BM70" i="3"/>
  <c r="BL70" i="3"/>
  <c r="BK70" i="3"/>
  <c r="BJ70" i="3"/>
  <c r="BI70" i="3"/>
  <c r="BH70" i="3"/>
  <c r="BG70" i="3"/>
  <c r="BF70" i="3"/>
  <c r="BD70" i="3"/>
  <c r="BC70" i="3"/>
  <c r="BB70" i="3"/>
  <c r="BA70" i="3"/>
  <c r="AI70" i="3"/>
  <c r="AD70" i="3" s="1"/>
  <c r="AC70" i="3" s="1"/>
  <c r="AY70" i="3" s="1"/>
  <c r="G70" i="3"/>
  <c r="DL69" i="3"/>
  <c r="DK69" i="3"/>
  <c r="DJ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BV69" i="3"/>
  <c r="BU69" i="3"/>
  <c r="CQ69" i="3" s="1"/>
  <c r="BT69" i="3"/>
  <c r="BS69" i="3"/>
  <c r="BR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D69" i="3"/>
  <c r="G69" i="3"/>
  <c r="AC69" i="3" s="1"/>
  <c r="AY69" i="3" s="1"/>
  <c r="DK68" i="3"/>
  <c r="DJ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P68" i="3"/>
  <c r="BV68" i="3" s="1"/>
  <c r="BS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X68" i="3"/>
  <c r="AD68" i="3" s="1"/>
  <c r="AA68" i="3"/>
  <c r="DL67" i="3"/>
  <c r="DK67" i="3"/>
  <c r="DJ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BV67" i="3"/>
  <c r="BT67" i="3"/>
  <c r="BS67" i="3"/>
  <c r="BR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D67" i="3"/>
  <c r="G67" i="3"/>
  <c r="DK66" i="3"/>
  <c r="DJ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P66" i="3"/>
  <c r="DL66" i="3" s="1"/>
  <c r="BS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X66" i="3"/>
  <c r="BT66" i="3" s="1"/>
  <c r="G66" i="3"/>
  <c r="DK65" i="3"/>
  <c r="DJ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P65" i="3"/>
  <c r="BV65" i="3"/>
  <c r="BS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X65" i="3"/>
  <c r="AD65" i="3" s="1"/>
  <c r="AA65" i="3"/>
  <c r="DL64" i="3"/>
  <c r="DK64" i="3"/>
  <c r="DJ64" i="3"/>
  <c r="DH64" i="3"/>
  <c r="DG64" i="3"/>
  <c r="DF64" i="3"/>
  <c r="DE64" i="3"/>
  <c r="DC64" i="3"/>
  <c r="DB64" i="3"/>
  <c r="DA64" i="3"/>
  <c r="CZ64" i="3"/>
  <c r="CY64" i="3"/>
  <c r="CX64" i="3"/>
  <c r="CV64" i="3"/>
  <c r="CU64" i="3"/>
  <c r="CT64" i="3"/>
  <c r="CS64" i="3"/>
  <c r="CH64" i="3"/>
  <c r="CH91" i="3" s="1"/>
  <c r="CA64" i="3"/>
  <c r="BV64" i="3" s="1"/>
  <c r="BT64" i="3"/>
  <c r="BS64" i="3"/>
  <c r="BP64" i="3"/>
  <c r="BO64" i="3"/>
  <c r="BN64" i="3"/>
  <c r="BM64" i="3"/>
  <c r="BK64" i="3"/>
  <c r="BJ64" i="3"/>
  <c r="BI64" i="3"/>
  <c r="BH64" i="3"/>
  <c r="BG64" i="3"/>
  <c r="BF64" i="3"/>
  <c r="BD64" i="3"/>
  <c r="BC64" i="3"/>
  <c r="BB64" i="3"/>
  <c r="BA64" i="3"/>
  <c r="AP64" i="3"/>
  <c r="AI64" i="3"/>
  <c r="L64" i="3"/>
  <c r="G64" i="3" s="1"/>
  <c r="DL63" i="3"/>
  <c r="DK63" i="3"/>
  <c r="DJ63" i="3"/>
  <c r="DH63" i="3"/>
  <c r="DG63" i="3"/>
  <c r="DF63" i="3"/>
  <c r="DE63" i="3"/>
  <c r="DD63" i="3"/>
  <c r="DC63" i="3"/>
  <c r="DB63" i="3"/>
  <c r="DA63" i="3"/>
  <c r="CZ63" i="3"/>
  <c r="CY63" i="3"/>
  <c r="CX63" i="3"/>
  <c r="CV63" i="3"/>
  <c r="CU63" i="3"/>
  <c r="CT63" i="3"/>
  <c r="CS63" i="3"/>
  <c r="CA63" i="3"/>
  <c r="BV63" i="3" s="1"/>
  <c r="BT63" i="3"/>
  <c r="BS63" i="3"/>
  <c r="BP63" i="3"/>
  <c r="BO63" i="3"/>
  <c r="BN63" i="3"/>
  <c r="BM63" i="3"/>
  <c r="BL63" i="3"/>
  <c r="BK63" i="3"/>
  <c r="BJ63" i="3"/>
  <c r="BI63" i="3"/>
  <c r="BH63" i="3"/>
  <c r="BG63" i="3"/>
  <c r="BF63" i="3"/>
  <c r="BD63" i="3"/>
  <c r="BC63" i="3"/>
  <c r="BB63" i="3"/>
  <c r="BA63" i="3"/>
  <c r="AI63" i="3"/>
  <c r="AD63" i="3" s="1"/>
  <c r="L63" i="3"/>
  <c r="DL62" i="3"/>
  <c r="DK62" i="3"/>
  <c r="DJ62" i="3"/>
  <c r="DH62" i="3"/>
  <c r="DG62" i="3"/>
  <c r="DF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I62" i="3"/>
  <c r="BV62" i="3" s="1"/>
  <c r="BT62" i="3"/>
  <c r="BS62" i="3"/>
  <c r="BR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Q62" i="3"/>
  <c r="AD62" i="3" s="1"/>
  <c r="G62" i="3"/>
  <c r="DK61" i="3"/>
  <c r="DJ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P61" i="3"/>
  <c r="BV61" i="3" s="1"/>
  <c r="BU61" i="3" s="1"/>
  <c r="CQ61" i="3" s="1"/>
  <c r="BT61" i="3"/>
  <c r="BS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X61" i="3"/>
  <c r="AD61" i="3"/>
  <c r="G61" i="3"/>
  <c r="DK60" i="3"/>
  <c r="DJ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P60" i="3"/>
  <c r="BV60" i="3" s="1"/>
  <c r="BU60" i="3" s="1"/>
  <c r="CQ60" i="3" s="1"/>
  <c r="BT60" i="3"/>
  <c r="BS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X60" i="3"/>
  <c r="AD60" i="3" s="1"/>
  <c r="G60" i="3"/>
  <c r="DK59" i="3"/>
  <c r="DJ59" i="3"/>
  <c r="DH59" i="3"/>
  <c r="DG59" i="3"/>
  <c r="DF59" i="3"/>
  <c r="DE59" i="3"/>
  <c r="DD59" i="3"/>
  <c r="DC59" i="3"/>
  <c r="DB59" i="3"/>
  <c r="DA59" i="3"/>
  <c r="CZ59" i="3"/>
  <c r="CY59" i="3"/>
  <c r="CW59" i="3"/>
  <c r="CV59" i="3"/>
  <c r="CU59" i="3"/>
  <c r="CT59" i="3"/>
  <c r="CS59" i="3"/>
  <c r="CP59" i="3"/>
  <c r="CB59" i="3"/>
  <c r="CB137" i="3" s="1"/>
  <c r="BS59" i="3"/>
  <c r="BP59" i="3"/>
  <c r="BO59" i="3"/>
  <c r="BN59" i="3"/>
  <c r="BM59" i="3"/>
  <c r="BL59" i="3"/>
  <c r="BK59" i="3"/>
  <c r="BJ59" i="3"/>
  <c r="BI59" i="3"/>
  <c r="BH59" i="3"/>
  <c r="BG59" i="3"/>
  <c r="BE59" i="3"/>
  <c r="BD59" i="3"/>
  <c r="BC59" i="3"/>
  <c r="BB59" i="3"/>
  <c r="BA59" i="3"/>
  <c r="AX59" i="3"/>
  <c r="AJ59" i="3"/>
  <c r="AA59" i="3"/>
  <c r="M59" i="3"/>
  <c r="M137" i="3" s="1"/>
  <c r="CN58" i="3"/>
  <c r="CM58" i="3"/>
  <c r="CM130" i="3" s="1"/>
  <c r="CL58" i="3"/>
  <c r="CJ58" i="3"/>
  <c r="CG58" i="3"/>
  <c r="CF58" i="3"/>
  <c r="CE58" i="3"/>
  <c r="CD58" i="3"/>
  <c r="CC58" i="3"/>
  <c r="CB58" i="3"/>
  <c r="CA58" i="3"/>
  <c r="BZ58" i="3"/>
  <c r="BX58" i="3"/>
  <c r="BW58" i="3"/>
  <c r="AV58" i="3"/>
  <c r="AU58" i="3"/>
  <c r="AT58" i="3"/>
  <c r="AR58" i="3"/>
  <c r="AO58" i="3"/>
  <c r="AN58" i="3"/>
  <c r="AM58" i="3"/>
  <c r="AL58" i="3"/>
  <c r="AK58" i="3"/>
  <c r="AJ58" i="3"/>
  <c r="AI58" i="3"/>
  <c r="AH58" i="3"/>
  <c r="AF58" i="3"/>
  <c r="Y58" i="3"/>
  <c r="X58" i="3"/>
  <c r="X130" i="3" s="1"/>
  <c r="W58" i="3"/>
  <c r="U58" i="3"/>
  <c r="T58" i="3"/>
  <c r="R58" i="3"/>
  <c r="Q58" i="3"/>
  <c r="P58" i="3"/>
  <c r="O58" i="3"/>
  <c r="N58" i="3"/>
  <c r="L58" i="3"/>
  <c r="K58" i="3"/>
  <c r="I58" i="3"/>
  <c r="H58" i="3"/>
  <c r="DK57" i="3"/>
  <c r="DJ57" i="3"/>
  <c r="DH57" i="3"/>
  <c r="DG57" i="3"/>
  <c r="DF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P57" i="3"/>
  <c r="BV57" i="3" s="1"/>
  <c r="BS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X57" i="3"/>
  <c r="AD57" i="3" s="1"/>
  <c r="AA57" i="3"/>
  <c r="DL56" i="3"/>
  <c r="DK56" i="3"/>
  <c r="DJ56" i="3"/>
  <c r="DH56" i="3"/>
  <c r="DF56" i="3"/>
  <c r="DE56" i="3"/>
  <c r="DD56" i="3"/>
  <c r="DC56" i="3"/>
  <c r="DB56" i="3"/>
  <c r="DA56" i="3"/>
  <c r="CZ56" i="3"/>
  <c r="CY56" i="3"/>
  <c r="CW56" i="3"/>
  <c r="CV56" i="3"/>
  <c r="CU56" i="3"/>
  <c r="CT56" i="3"/>
  <c r="CS56" i="3"/>
  <c r="CK56" i="3"/>
  <c r="DG56" i="3" s="1"/>
  <c r="BT56" i="3"/>
  <c r="BS56" i="3"/>
  <c r="BP56" i="3"/>
  <c r="BN56" i="3"/>
  <c r="BM56" i="3"/>
  <c r="BL56" i="3"/>
  <c r="BK56" i="3"/>
  <c r="BJ56" i="3"/>
  <c r="BI56" i="3"/>
  <c r="BH56" i="3"/>
  <c r="BG56" i="3"/>
  <c r="BE56" i="3"/>
  <c r="BD56" i="3"/>
  <c r="BC56" i="3"/>
  <c r="BB56" i="3"/>
  <c r="BA56" i="3"/>
  <c r="AS56" i="3"/>
  <c r="M56" i="3"/>
  <c r="M135" i="3" s="1"/>
  <c r="DL55" i="3"/>
  <c r="DK55" i="3"/>
  <c r="DJ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BV55" i="3"/>
  <c r="BU55" i="3" s="1"/>
  <c r="CQ55" i="3" s="1"/>
  <c r="BT55" i="3"/>
  <c r="BS55" i="3"/>
  <c r="BP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S55" i="3"/>
  <c r="BO55" i="3" s="1"/>
  <c r="AD55" i="3"/>
  <c r="AC55" i="3" s="1"/>
  <c r="AY55" i="3" s="1"/>
  <c r="G55" i="3"/>
  <c r="DL54" i="3"/>
  <c r="DK54" i="3"/>
  <c r="DJ54" i="3"/>
  <c r="DH54" i="3"/>
  <c r="DF54" i="3"/>
  <c r="DE54" i="3"/>
  <c r="DD54" i="3"/>
  <c r="DC54" i="3"/>
  <c r="DB54" i="3"/>
  <c r="DA54" i="3"/>
  <c r="CZ54" i="3"/>
  <c r="CY54" i="3"/>
  <c r="CX54" i="3"/>
  <c r="CW54" i="3"/>
  <c r="CV54" i="3"/>
  <c r="CT54" i="3"/>
  <c r="CS54" i="3"/>
  <c r="CK54" i="3"/>
  <c r="DG54" i="3" s="1"/>
  <c r="BY54" i="3"/>
  <c r="BT54" i="3"/>
  <c r="BS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B54" i="3"/>
  <c r="BA54" i="3"/>
  <c r="AG54" i="3"/>
  <c r="AD54" i="3" s="1"/>
  <c r="J54" i="3"/>
  <c r="DL53" i="3"/>
  <c r="DK53" i="3"/>
  <c r="DJ53" i="3"/>
  <c r="DH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K53" i="3"/>
  <c r="DG53" i="3" s="1"/>
  <c r="BT53" i="3"/>
  <c r="BS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D53" i="3"/>
  <c r="G53" i="3"/>
  <c r="DK52" i="3"/>
  <c r="DJ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T52" i="3"/>
  <c r="CS52" i="3"/>
  <c r="BY52" i="3"/>
  <c r="BS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D52" i="3"/>
  <c r="AA52" i="3"/>
  <c r="DK51" i="3"/>
  <c r="DJ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P51" i="3"/>
  <c r="DL51" i="3" s="1"/>
  <c r="BV51" i="3"/>
  <c r="BS51" i="3"/>
  <c r="BP51" i="3"/>
  <c r="BO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X51" i="3"/>
  <c r="BT51" i="3" s="1"/>
  <c r="AD51" i="3"/>
  <c r="AC51" i="3" s="1"/>
  <c r="AY51" i="3" s="1"/>
  <c r="G51" i="3"/>
  <c r="DL50" i="3"/>
  <c r="DK50" i="3"/>
  <c r="DJ50" i="3"/>
  <c r="DH50" i="3"/>
  <c r="DF50" i="3"/>
  <c r="DE50" i="3"/>
  <c r="DD50" i="3"/>
  <c r="DC50" i="3"/>
  <c r="DB50" i="3"/>
  <c r="DA50" i="3"/>
  <c r="CZ50" i="3"/>
  <c r="CY50" i="3"/>
  <c r="CX50" i="3"/>
  <c r="CW50" i="3"/>
  <c r="CV50" i="3"/>
  <c r="CT50" i="3"/>
  <c r="CS50" i="3"/>
  <c r="CK50" i="3"/>
  <c r="BV50" i="3" s="1"/>
  <c r="BT50" i="3"/>
  <c r="BS50" i="3"/>
  <c r="BP50" i="3"/>
  <c r="BN50" i="3"/>
  <c r="BM50" i="3"/>
  <c r="BL50" i="3"/>
  <c r="BK50" i="3"/>
  <c r="BJ50" i="3"/>
  <c r="BI50" i="3"/>
  <c r="BH50" i="3"/>
  <c r="BG50" i="3"/>
  <c r="BF50" i="3"/>
  <c r="BE50" i="3"/>
  <c r="BD50" i="3"/>
  <c r="BB50" i="3"/>
  <c r="BA50" i="3"/>
  <c r="AS50" i="3"/>
  <c r="AD50" i="3" s="1"/>
  <c r="V50" i="3"/>
  <c r="J50" i="3"/>
  <c r="BC50" i="3" s="1"/>
  <c r="DL49" i="3"/>
  <c r="DK49" i="3"/>
  <c r="DJ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T49" i="3"/>
  <c r="CS49" i="3"/>
  <c r="BY49" i="3"/>
  <c r="BV49" i="3" s="1"/>
  <c r="BT49" i="3"/>
  <c r="BS49" i="3"/>
  <c r="BP49" i="3"/>
  <c r="BO49" i="3"/>
  <c r="BM49" i="3"/>
  <c r="BL49" i="3"/>
  <c r="BK49" i="3"/>
  <c r="BJ49" i="3"/>
  <c r="BI49" i="3"/>
  <c r="BH49" i="3"/>
  <c r="BG49" i="3"/>
  <c r="BF49" i="3"/>
  <c r="BE49" i="3"/>
  <c r="BD49" i="3"/>
  <c r="BB49" i="3"/>
  <c r="BA49" i="3"/>
  <c r="AG49" i="3"/>
  <c r="BC49" i="3" s="1"/>
  <c r="G49" i="3"/>
  <c r="DL48" i="3"/>
  <c r="DJ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T48" i="3"/>
  <c r="CS48" i="3"/>
  <c r="CO48" i="3"/>
  <c r="DK48" i="3" s="1"/>
  <c r="BY48" i="3"/>
  <c r="CU48" i="3" s="1"/>
  <c r="BT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B48" i="3"/>
  <c r="BA48" i="3"/>
  <c r="AW48" i="3"/>
  <c r="BS48" i="3" s="1"/>
  <c r="AG48" i="3"/>
  <c r="G48" i="3"/>
  <c r="DL47" i="3"/>
  <c r="DK47" i="3"/>
  <c r="DJ47" i="3"/>
  <c r="DH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K47" i="3"/>
  <c r="DG47" i="3" s="1"/>
  <c r="BT47" i="3"/>
  <c r="BS47" i="3"/>
  <c r="BP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S47" i="3"/>
  <c r="AD47" i="3" s="1"/>
  <c r="AA47" i="3"/>
  <c r="G47" i="3" s="1"/>
  <c r="DL46" i="3"/>
  <c r="DK46" i="3"/>
  <c r="DJ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BV46" i="3"/>
  <c r="BT46" i="3"/>
  <c r="BS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D46" i="3"/>
  <c r="G46" i="3"/>
  <c r="DL45" i="3"/>
  <c r="DK45" i="3"/>
  <c r="DJ45" i="3"/>
  <c r="DH45" i="3"/>
  <c r="DF45" i="3"/>
  <c r="DE45" i="3"/>
  <c r="DD45" i="3"/>
  <c r="DC45" i="3"/>
  <c r="DB45" i="3"/>
  <c r="DA45" i="3"/>
  <c r="CZ45" i="3"/>
  <c r="CY45" i="3"/>
  <c r="CX45" i="3"/>
  <c r="CW45" i="3"/>
  <c r="CV45" i="3"/>
  <c r="CU45" i="3"/>
  <c r="CT45" i="3"/>
  <c r="CS45" i="3"/>
  <c r="CK45" i="3"/>
  <c r="DG45" i="3" s="1"/>
  <c r="BT45" i="3"/>
  <c r="BS45" i="3"/>
  <c r="BP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BA45" i="3"/>
  <c r="AS45" i="3"/>
  <c r="AD45" i="3" s="1"/>
  <c r="G45" i="3"/>
  <c r="DL44" i="3"/>
  <c r="DK44" i="3"/>
  <c r="DJ44" i="3"/>
  <c r="DH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K44" i="3"/>
  <c r="DG44" i="3" s="1"/>
  <c r="BT44" i="3"/>
  <c r="BS44" i="3"/>
  <c r="BR44" i="3"/>
  <c r="BP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S44" i="3"/>
  <c r="BO44" i="3" s="1"/>
  <c r="G44" i="3"/>
  <c r="DL43" i="3"/>
  <c r="DK43" i="3"/>
  <c r="DJ43" i="3"/>
  <c r="DH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S43" i="3"/>
  <c r="CK43" i="3"/>
  <c r="BV43" i="3" s="1"/>
  <c r="BT43" i="3"/>
  <c r="BS43" i="3"/>
  <c r="BP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BA43" i="3"/>
  <c r="AS43" i="3"/>
  <c r="AD43" i="3" s="1"/>
  <c r="V43" i="3"/>
  <c r="G43" i="3" s="1"/>
  <c r="DL42" i="3"/>
  <c r="DK42" i="3"/>
  <c r="DJ42" i="3"/>
  <c r="DH42" i="3"/>
  <c r="DF42" i="3"/>
  <c r="DE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K42" i="3"/>
  <c r="DG42" i="3" s="1"/>
  <c r="BT42" i="3"/>
  <c r="BS42" i="3"/>
  <c r="BR42" i="3"/>
  <c r="BP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S42" i="3"/>
  <c r="BO42" i="3" s="1"/>
  <c r="V42" i="3"/>
  <c r="G42" i="3"/>
  <c r="DL41" i="3"/>
  <c r="DK41" i="3"/>
  <c r="DJ41" i="3"/>
  <c r="DH41" i="3"/>
  <c r="DG41" i="3"/>
  <c r="DF41" i="3"/>
  <c r="DE41" i="3"/>
  <c r="DC41" i="3"/>
  <c r="DB41" i="3"/>
  <c r="DA41" i="3"/>
  <c r="CZ41" i="3"/>
  <c r="CY41" i="3"/>
  <c r="CX41" i="3"/>
  <c r="CW41" i="3"/>
  <c r="CV41" i="3"/>
  <c r="CU41" i="3"/>
  <c r="CT41" i="3"/>
  <c r="CS41" i="3"/>
  <c r="CH41" i="3"/>
  <c r="BT41" i="3"/>
  <c r="BS41" i="3"/>
  <c r="BR41" i="3"/>
  <c r="BP41" i="3"/>
  <c r="BO41" i="3"/>
  <c r="BN41" i="3"/>
  <c r="BM41" i="3"/>
  <c r="BK41" i="3"/>
  <c r="BJ41" i="3"/>
  <c r="BI41" i="3"/>
  <c r="BH41" i="3"/>
  <c r="BG41" i="3"/>
  <c r="BF41" i="3"/>
  <c r="BE41" i="3"/>
  <c r="BD41" i="3"/>
  <c r="BC41" i="3"/>
  <c r="BB41" i="3"/>
  <c r="BA41" i="3"/>
  <c r="AP41" i="3"/>
  <c r="S41" i="3"/>
  <c r="G41" i="3"/>
  <c r="DL40" i="3"/>
  <c r="DK40" i="3"/>
  <c r="DJ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BV40" i="3"/>
  <c r="BS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D40" i="3"/>
  <c r="AA40" i="3"/>
  <c r="G40" i="3" s="1"/>
  <c r="DL39" i="3"/>
  <c r="DJ39" i="3"/>
  <c r="DH39" i="3"/>
  <c r="DG39" i="3"/>
  <c r="DF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O39" i="3"/>
  <c r="CI39" i="3"/>
  <c r="DE39" i="3" s="1"/>
  <c r="BT39" i="3"/>
  <c r="BP39" i="3"/>
  <c r="BO39" i="3"/>
  <c r="BN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W39" i="3"/>
  <c r="AW58" i="3" s="1"/>
  <c r="AQ39" i="3"/>
  <c r="BM39" i="3" s="1"/>
  <c r="Z39" i="3"/>
  <c r="DK39" i="3" s="1"/>
  <c r="DK38" i="3"/>
  <c r="DJ38" i="3"/>
  <c r="DH38" i="3"/>
  <c r="DF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P38" i="3"/>
  <c r="CI38" i="3"/>
  <c r="BS38" i="3"/>
  <c r="BP38" i="3"/>
  <c r="BN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X38" i="3"/>
  <c r="AS38" i="3"/>
  <c r="BO38" i="3" s="1"/>
  <c r="AQ38" i="3"/>
  <c r="BM38" i="3" s="1"/>
  <c r="AD38" i="3"/>
  <c r="AA38" i="3"/>
  <c r="DL37" i="3"/>
  <c r="DK37" i="3"/>
  <c r="DJ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I37" i="3"/>
  <c r="BV37" i="3"/>
  <c r="BT37" i="3"/>
  <c r="BS37" i="3"/>
  <c r="BP37" i="3"/>
  <c r="BO37" i="3"/>
  <c r="BN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Q37" i="3"/>
  <c r="G37" i="3"/>
  <c r="DL36" i="3"/>
  <c r="DK36" i="3"/>
  <c r="DJ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K36" i="3"/>
  <c r="BV36" i="3"/>
  <c r="BT36" i="3"/>
  <c r="BS36" i="3"/>
  <c r="BR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S36" i="3"/>
  <c r="AD36" i="3"/>
  <c r="G36" i="3"/>
  <c r="DL35" i="3"/>
  <c r="DK35" i="3"/>
  <c r="DJ35" i="3"/>
  <c r="DH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K35" i="3"/>
  <c r="DG35" i="3" s="1"/>
  <c r="BT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D35" i="3"/>
  <c r="G35" i="3"/>
  <c r="DL34" i="3"/>
  <c r="DK34" i="3"/>
  <c r="DJ34" i="3"/>
  <c r="DH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S34" i="3"/>
  <c r="CK34" i="3"/>
  <c r="BV34" i="3" s="1"/>
  <c r="BT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S34" i="3"/>
  <c r="AD34" i="3"/>
  <c r="G34" i="3"/>
  <c r="DL33" i="3"/>
  <c r="DK33" i="3"/>
  <c r="DJ33" i="3"/>
  <c r="DH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K33" i="3"/>
  <c r="DG33" i="3" s="1"/>
  <c r="BT33" i="3"/>
  <c r="BP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BA33" i="3"/>
  <c r="AS33" i="3"/>
  <c r="AD33" i="3" s="1"/>
  <c r="AC33" i="3" s="1"/>
  <c r="AY33" i="3" s="1"/>
  <c r="G33" i="3"/>
  <c r="DL32" i="3"/>
  <c r="DK32" i="3"/>
  <c r="DJ32" i="3"/>
  <c r="DI32" i="3"/>
  <c r="DH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K32" i="3"/>
  <c r="DG32" i="3" s="1"/>
  <c r="BV32" i="3"/>
  <c r="BT32" i="3"/>
  <c r="BQ32" i="3"/>
  <c r="BQ135" i="3" s="1"/>
  <c r="BP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BA32" i="3"/>
  <c r="AS32" i="3"/>
  <c r="AD32" i="3" s="1"/>
  <c r="G32" i="3"/>
  <c r="DL31" i="3"/>
  <c r="DK31" i="3"/>
  <c r="DJ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S31" i="3"/>
  <c r="CP31" i="3"/>
  <c r="BV31" i="3" s="1"/>
  <c r="BP31" i="3"/>
  <c r="BO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BA31" i="3"/>
  <c r="AX31" i="3"/>
  <c r="BT31" i="3" s="1"/>
  <c r="AD31" i="3"/>
  <c r="G31" i="3"/>
  <c r="DK30" i="3"/>
  <c r="DJ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P30" i="3"/>
  <c r="BV30" i="3"/>
  <c r="BP30" i="3"/>
  <c r="BO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X30" i="3"/>
  <c r="AD30" i="3"/>
  <c r="AA30" i="3"/>
  <c r="G30" i="3"/>
  <c r="DL29" i="3"/>
  <c r="DK29" i="3"/>
  <c r="DJ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K29" i="3"/>
  <c r="BV29" i="3"/>
  <c r="BT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S29" i="3"/>
  <c r="AD29" i="3"/>
  <c r="G29" i="3"/>
  <c r="DL28" i="3"/>
  <c r="DK28" i="3"/>
  <c r="DJ28" i="3"/>
  <c r="DH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K28" i="3"/>
  <c r="DG28" i="3" s="1"/>
  <c r="BT28" i="3"/>
  <c r="BP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S28" i="3"/>
  <c r="AD28" i="3" s="1"/>
  <c r="G28" i="3"/>
  <c r="DL27" i="3"/>
  <c r="DK27" i="3"/>
  <c r="DJ27" i="3"/>
  <c r="DH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T27" i="3"/>
  <c r="CS27" i="3"/>
  <c r="CK27" i="3"/>
  <c r="BV27" i="3" s="1"/>
  <c r="BT27" i="3"/>
  <c r="BP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S27" i="3"/>
  <c r="AD27" i="3" s="1"/>
  <c r="V27" i="3"/>
  <c r="G27" i="3" s="1"/>
  <c r="DL26" i="3"/>
  <c r="DK26" i="3"/>
  <c r="DJ26" i="3"/>
  <c r="DH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T26" i="3"/>
  <c r="CS26" i="3"/>
  <c r="BV26" i="3"/>
  <c r="BT26" i="3"/>
  <c r="BP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D26" i="3"/>
  <c r="V26" i="3"/>
  <c r="DG26" i="3" s="1"/>
  <c r="DL25" i="3"/>
  <c r="DK25" i="3"/>
  <c r="DJ25" i="3"/>
  <c r="DH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T25" i="3"/>
  <c r="CS25" i="3"/>
  <c r="CK25" i="3"/>
  <c r="BT25" i="3"/>
  <c r="BP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S25" i="3"/>
  <c r="BO25" i="3" s="1"/>
  <c r="G25" i="3"/>
  <c r="DL24" i="3"/>
  <c r="DK24" i="3"/>
  <c r="DJ24" i="3"/>
  <c r="DH24" i="3"/>
  <c r="DG24" i="3"/>
  <c r="DF24" i="3"/>
  <c r="DE24" i="3"/>
  <c r="DD24" i="3"/>
  <c r="DC24" i="3"/>
  <c r="DB24" i="3"/>
  <c r="DA24" i="3"/>
  <c r="CZ24" i="3"/>
  <c r="CY24" i="3"/>
  <c r="CX24" i="3"/>
  <c r="CW24" i="3"/>
  <c r="CV24" i="3"/>
  <c r="CU24" i="3"/>
  <c r="CT24" i="3"/>
  <c r="CS24" i="3"/>
  <c r="BV24" i="3"/>
  <c r="BT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D24" i="3"/>
  <c r="G24" i="3"/>
  <c r="BU24" i="3" s="1"/>
  <c r="CQ24" i="3" s="1"/>
  <c r="DL23" i="3"/>
  <c r="DK23" i="3"/>
  <c r="DJ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T23" i="3"/>
  <c r="CS23" i="3"/>
  <c r="BY23" i="3"/>
  <c r="CU23" i="3" s="1"/>
  <c r="BV23" i="3"/>
  <c r="BT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B23" i="3"/>
  <c r="BA23" i="3"/>
  <c r="AG23" i="3"/>
  <c r="BC23" i="3" s="1"/>
  <c r="G23" i="3"/>
  <c r="DL22" i="3"/>
  <c r="DK22" i="3"/>
  <c r="DJ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CT22" i="3"/>
  <c r="CS22" i="3"/>
  <c r="BY22" i="3"/>
  <c r="BV22" i="3" s="1"/>
  <c r="BT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B22" i="3"/>
  <c r="BA22" i="3"/>
  <c r="AG22" i="3"/>
  <c r="G22" i="3"/>
  <c r="DL21" i="3"/>
  <c r="DK21" i="3"/>
  <c r="DJ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T21" i="3"/>
  <c r="CS21" i="3"/>
  <c r="BY21" i="3"/>
  <c r="BV21" i="3"/>
  <c r="BT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B21" i="3"/>
  <c r="BA21" i="3"/>
  <c r="AG21" i="3"/>
  <c r="AD21" i="3" s="1"/>
  <c r="G21" i="3"/>
  <c r="DI20" i="3"/>
  <c r="CO20" i="3"/>
  <c r="CN20" i="3"/>
  <c r="CL20" i="3"/>
  <c r="CK20" i="3"/>
  <c r="CH20" i="3"/>
  <c r="CG20" i="3"/>
  <c r="CF20" i="3"/>
  <c r="CE20" i="3"/>
  <c r="CD20" i="3"/>
  <c r="CC20" i="3"/>
  <c r="BZ20" i="3"/>
  <c r="BX20" i="3"/>
  <c r="BW20" i="3"/>
  <c r="AW20" i="3"/>
  <c r="AV20" i="3"/>
  <c r="AU20" i="3"/>
  <c r="AT20" i="3"/>
  <c r="AS20" i="3"/>
  <c r="AP20" i="3"/>
  <c r="AO20" i="3"/>
  <c r="AN20" i="3"/>
  <c r="AM20" i="3"/>
  <c r="AL20" i="3"/>
  <c r="AL130" i="3" s="1"/>
  <c r="AK20" i="3"/>
  <c r="AH20" i="3"/>
  <c r="AF20" i="3"/>
  <c r="Z20" i="3"/>
  <c r="Y20" i="3"/>
  <c r="W20" i="3"/>
  <c r="V20" i="3"/>
  <c r="U20" i="3"/>
  <c r="T20" i="3"/>
  <c r="S20" i="3"/>
  <c r="R20" i="3"/>
  <c r="Q20" i="3"/>
  <c r="P20" i="3"/>
  <c r="O20" i="3"/>
  <c r="N20" i="3"/>
  <c r="M20" i="3"/>
  <c r="K20" i="3"/>
  <c r="J20" i="3"/>
  <c r="I20" i="3"/>
  <c r="H20" i="3"/>
  <c r="DL19" i="3"/>
  <c r="DK19" i="3"/>
  <c r="DJ19" i="3"/>
  <c r="DH19" i="3"/>
  <c r="DG19" i="3"/>
  <c r="DF19" i="3"/>
  <c r="DE19" i="3"/>
  <c r="DD19" i="3"/>
  <c r="DC19" i="3"/>
  <c r="DB19" i="3"/>
  <c r="DA19" i="3"/>
  <c r="CZ19" i="3"/>
  <c r="CY19" i="3"/>
  <c r="CX19" i="3"/>
  <c r="CV19" i="3"/>
  <c r="CU19" i="3"/>
  <c r="CT19" i="3"/>
  <c r="CS19" i="3"/>
  <c r="CA19" i="3"/>
  <c r="CW19" i="3" s="1"/>
  <c r="BT19" i="3"/>
  <c r="BS19" i="3"/>
  <c r="BP19" i="3"/>
  <c r="BO19" i="3"/>
  <c r="BN19" i="3"/>
  <c r="BM19" i="3"/>
  <c r="BL19" i="3"/>
  <c r="BK19" i="3"/>
  <c r="BJ19" i="3"/>
  <c r="BI19" i="3"/>
  <c r="BH19" i="3"/>
  <c r="BG19" i="3"/>
  <c r="BF19" i="3"/>
  <c r="BD19" i="3"/>
  <c r="BC19" i="3"/>
  <c r="BB19" i="3"/>
  <c r="BA19" i="3"/>
  <c r="AI19" i="3"/>
  <c r="G19" i="3"/>
  <c r="DL18" i="3"/>
  <c r="DK18" i="3"/>
  <c r="DJ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S18" i="3"/>
  <c r="BV18" i="3"/>
  <c r="BU18" i="3" s="1"/>
  <c r="CQ18" i="3" s="1"/>
  <c r="BT18" i="3"/>
  <c r="BS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D18" i="3"/>
  <c r="G18" i="3"/>
  <c r="DL17" i="3"/>
  <c r="DK17" i="3"/>
  <c r="DJ17" i="3"/>
  <c r="DH17" i="3"/>
  <c r="DG17" i="3"/>
  <c r="DF17" i="3"/>
  <c r="DE17" i="3"/>
  <c r="DD17" i="3"/>
  <c r="DC17" i="3"/>
  <c r="DB17" i="3"/>
  <c r="DA17" i="3"/>
  <c r="CZ17" i="3"/>
  <c r="CY17" i="3"/>
  <c r="CX17" i="3"/>
  <c r="CV17" i="3"/>
  <c r="CU17" i="3"/>
  <c r="CT17" i="3"/>
  <c r="CS17" i="3"/>
  <c r="BV17" i="3"/>
  <c r="BT17" i="3"/>
  <c r="BS17" i="3"/>
  <c r="BR17" i="3"/>
  <c r="BP17" i="3"/>
  <c r="BO17" i="3"/>
  <c r="BN17" i="3"/>
  <c r="BM17" i="3"/>
  <c r="BL17" i="3"/>
  <c r="BK17" i="3"/>
  <c r="BJ17" i="3"/>
  <c r="BI17" i="3"/>
  <c r="BH17" i="3"/>
  <c r="BG17" i="3"/>
  <c r="BF17" i="3"/>
  <c r="BD17" i="3"/>
  <c r="BC17" i="3"/>
  <c r="BB17" i="3"/>
  <c r="BA17" i="3"/>
  <c r="AI17" i="3"/>
  <c r="AD17" i="3" s="1"/>
  <c r="L17" i="3"/>
  <c r="CW17" i="3" s="1"/>
  <c r="DK16" i="3"/>
  <c r="DJ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BV16" i="3"/>
  <c r="BS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D16" i="3"/>
  <c r="AA16" i="3"/>
  <c r="DL15" i="3"/>
  <c r="DK15" i="3"/>
  <c r="DJ15" i="3"/>
  <c r="DH15" i="3"/>
  <c r="DG15" i="3"/>
  <c r="DF15" i="3"/>
  <c r="DD15" i="3"/>
  <c r="DC15" i="3"/>
  <c r="DB15" i="3"/>
  <c r="DA15" i="3"/>
  <c r="CZ15" i="3"/>
  <c r="CY15" i="3"/>
  <c r="CX15" i="3"/>
  <c r="CV15" i="3"/>
  <c r="CU15" i="3"/>
  <c r="CT15" i="3"/>
  <c r="CS15" i="3"/>
  <c r="CI15" i="3"/>
  <c r="CI136" i="3" s="1"/>
  <c r="CA15" i="3"/>
  <c r="BT15" i="3"/>
  <c r="BS15" i="3"/>
  <c r="BP15" i="3"/>
  <c r="BO15" i="3"/>
  <c r="BN15" i="3"/>
  <c r="BL15" i="3"/>
  <c r="BK15" i="3"/>
  <c r="BJ15" i="3"/>
  <c r="BI15" i="3"/>
  <c r="BH15" i="3"/>
  <c r="BG15" i="3"/>
  <c r="BF15" i="3"/>
  <c r="BD15" i="3"/>
  <c r="BC15" i="3"/>
  <c r="BB15" i="3"/>
  <c r="BA15" i="3"/>
  <c r="AQ15" i="3"/>
  <c r="BM15" i="3" s="1"/>
  <c r="AI15" i="3"/>
  <c r="G15" i="3"/>
  <c r="DL14" i="3"/>
  <c r="DK14" i="3"/>
  <c r="DJ14" i="3"/>
  <c r="DH14" i="3"/>
  <c r="DG14" i="3"/>
  <c r="DF14" i="3"/>
  <c r="DE14" i="3"/>
  <c r="DD14" i="3"/>
  <c r="DC14" i="3"/>
  <c r="DB14" i="3"/>
  <c r="DA14" i="3"/>
  <c r="CZ14" i="3"/>
  <c r="CY14" i="3"/>
  <c r="CX14" i="3"/>
  <c r="CV14" i="3"/>
  <c r="CU14" i="3"/>
  <c r="CT14" i="3"/>
  <c r="CS14" i="3"/>
  <c r="CA14" i="3"/>
  <c r="CW14" i="3" s="1"/>
  <c r="BT14" i="3"/>
  <c r="BS14" i="3"/>
  <c r="BR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I14" i="3"/>
  <c r="AD14" i="3" s="1"/>
  <c r="G14" i="3"/>
  <c r="DK13" i="3"/>
  <c r="DJ13" i="3"/>
  <c r="DH13" i="3"/>
  <c r="DG13" i="3"/>
  <c r="DF13" i="3"/>
  <c r="DE13" i="3"/>
  <c r="DD13" i="3"/>
  <c r="DC13" i="3"/>
  <c r="DB13" i="3"/>
  <c r="DA13" i="3"/>
  <c r="CZ13" i="3"/>
  <c r="CY13" i="3"/>
  <c r="CV13" i="3"/>
  <c r="CU13" i="3"/>
  <c r="CT13" i="3"/>
  <c r="CS13" i="3"/>
  <c r="CP13" i="3"/>
  <c r="DL13" i="3" s="1"/>
  <c r="CJ13" i="3"/>
  <c r="CJ136" i="3" s="1"/>
  <c r="CB13" i="3"/>
  <c r="CA13" i="3"/>
  <c r="BS13" i="3"/>
  <c r="BP13" i="3"/>
  <c r="BO13" i="3"/>
  <c r="BM13" i="3"/>
  <c r="BL13" i="3"/>
  <c r="BK13" i="3"/>
  <c r="BJ13" i="3"/>
  <c r="BI13" i="3"/>
  <c r="BH13" i="3"/>
  <c r="BG13" i="3"/>
  <c r="BE13" i="3"/>
  <c r="BD13" i="3"/>
  <c r="BC13" i="3"/>
  <c r="BB13" i="3"/>
  <c r="BA13" i="3"/>
  <c r="AX13" i="3"/>
  <c r="BT13" i="3" s="1"/>
  <c r="AR13" i="3"/>
  <c r="BN13" i="3" s="1"/>
  <c r="AJ13" i="3"/>
  <c r="AJ136" i="3" s="1"/>
  <c r="AA13" i="3"/>
  <c r="G13" i="3"/>
  <c r="DL12" i="3"/>
  <c r="DK12" i="3"/>
  <c r="DJ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CU12" i="3"/>
  <c r="CT12" i="3"/>
  <c r="CS12" i="3"/>
  <c r="BV12" i="3"/>
  <c r="BT12" i="3"/>
  <c r="BS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I12" i="3"/>
  <c r="AD12" i="3"/>
  <c r="G12" i="3"/>
  <c r="DL11" i="3"/>
  <c r="DK11" i="3"/>
  <c r="DJ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BV11" i="3"/>
  <c r="BT11" i="3"/>
  <c r="BS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D11" i="3"/>
  <c r="G11" i="3"/>
  <c r="BU11" i="3" s="1"/>
  <c r="CQ11" i="3" s="1"/>
  <c r="DL10" i="3"/>
  <c r="DK10" i="3"/>
  <c r="DJ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BV10" i="3"/>
  <c r="BT10" i="3"/>
  <c r="BS10" i="3"/>
  <c r="BP10" i="3"/>
  <c r="BO10" i="3"/>
  <c r="BN10" i="3"/>
  <c r="BM10" i="3"/>
  <c r="BL10" i="3"/>
  <c r="BK10" i="3"/>
  <c r="BJ10" i="3"/>
  <c r="BI10" i="3"/>
  <c r="BH10" i="3"/>
  <c r="BG10" i="3"/>
  <c r="BF10" i="3"/>
  <c r="BD10" i="3"/>
  <c r="BC10" i="3"/>
  <c r="BB10" i="3"/>
  <c r="BA10" i="3"/>
  <c r="AI10" i="3"/>
  <c r="BE10" i="3" s="1"/>
  <c r="AD10" i="3"/>
  <c r="G10" i="3"/>
  <c r="DK9" i="3"/>
  <c r="DJ9" i="3"/>
  <c r="DH9" i="3"/>
  <c r="DG9" i="3"/>
  <c r="DF9" i="3"/>
  <c r="DE9" i="3"/>
  <c r="DD9" i="3"/>
  <c r="DC9" i="3"/>
  <c r="DB9" i="3"/>
  <c r="DA9" i="3"/>
  <c r="CZ9" i="3"/>
  <c r="CY9" i="3"/>
  <c r="CX9" i="3"/>
  <c r="CV9" i="3"/>
  <c r="CT9" i="3"/>
  <c r="CS9" i="3"/>
  <c r="CP9" i="3"/>
  <c r="CA9" i="3"/>
  <c r="BY9" i="3"/>
  <c r="BS9" i="3"/>
  <c r="BP9" i="3"/>
  <c r="BO9" i="3"/>
  <c r="BN9" i="3"/>
  <c r="BM9" i="3"/>
  <c r="BL9" i="3"/>
  <c r="BK9" i="3"/>
  <c r="BJ9" i="3"/>
  <c r="BI9" i="3"/>
  <c r="BH9" i="3"/>
  <c r="BG9" i="3"/>
  <c r="BF9" i="3"/>
  <c r="BD9" i="3"/>
  <c r="BB9" i="3"/>
  <c r="BA9" i="3"/>
  <c r="AX9" i="3"/>
  <c r="AX134" i="3" s="1"/>
  <c r="AI9" i="3"/>
  <c r="AG9" i="3"/>
  <c r="AA9" i="3"/>
  <c r="AA134" i="3" s="1"/>
  <c r="L9" i="3"/>
  <c r="BE9" i="3" s="1"/>
  <c r="J9" i="3"/>
  <c r="DL8" i="3"/>
  <c r="DK8" i="3"/>
  <c r="DJ8" i="3"/>
  <c r="DH8" i="3"/>
  <c r="DG8" i="3"/>
  <c r="DF8" i="3"/>
  <c r="DE8" i="3"/>
  <c r="DD8" i="3"/>
  <c r="DC8" i="3"/>
  <c r="DB8" i="3"/>
  <c r="DA8" i="3"/>
  <c r="CZ8" i="3"/>
  <c r="CY8" i="3"/>
  <c r="CX8" i="3"/>
  <c r="CV8" i="3"/>
  <c r="CT8" i="3"/>
  <c r="CS8" i="3"/>
  <c r="CA8" i="3"/>
  <c r="BY8" i="3"/>
  <c r="BT8" i="3"/>
  <c r="BS8" i="3"/>
  <c r="BP8" i="3"/>
  <c r="BO8" i="3"/>
  <c r="BN8" i="3"/>
  <c r="BM8" i="3"/>
  <c r="BL8" i="3"/>
  <c r="BK8" i="3"/>
  <c r="BJ8" i="3"/>
  <c r="BI8" i="3"/>
  <c r="BH8" i="3"/>
  <c r="BG8" i="3"/>
  <c r="BF8" i="3"/>
  <c r="BD8" i="3"/>
  <c r="BB8" i="3"/>
  <c r="BA8" i="3"/>
  <c r="AI8" i="3"/>
  <c r="AI134" i="3" s="1"/>
  <c r="AG8" i="3"/>
  <c r="L8" i="3"/>
  <c r="J8" i="3"/>
  <c r="DL7" i="3"/>
  <c r="DK7" i="3"/>
  <c r="DJ7" i="3"/>
  <c r="DH7" i="3"/>
  <c r="DG7" i="3"/>
  <c r="DF7" i="3"/>
  <c r="DE7" i="3"/>
  <c r="DD7" i="3"/>
  <c r="DC7" i="3"/>
  <c r="DB7" i="3"/>
  <c r="DA7" i="3"/>
  <c r="CZ7" i="3"/>
  <c r="CY7" i="3"/>
  <c r="CX7" i="3"/>
  <c r="CV7" i="3"/>
  <c r="CU7" i="3"/>
  <c r="CT7" i="3"/>
  <c r="CS7" i="3"/>
  <c r="BV7" i="3"/>
  <c r="BS7" i="3"/>
  <c r="BP7" i="3"/>
  <c r="BO7" i="3"/>
  <c r="BN7" i="3"/>
  <c r="BM7" i="3"/>
  <c r="BL7" i="3"/>
  <c r="BK7" i="3"/>
  <c r="BJ7" i="3"/>
  <c r="BI7" i="3"/>
  <c r="BH7" i="3"/>
  <c r="BG7" i="3"/>
  <c r="BF7" i="3"/>
  <c r="BD7" i="3"/>
  <c r="BC7" i="3"/>
  <c r="BB7" i="3"/>
  <c r="BA7" i="3"/>
  <c r="AX7" i="3"/>
  <c r="L7" i="3"/>
  <c r="J7" i="3"/>
  <c r="J136" i="3" s="1"/>
  <c r="DL6" i="3"/>
  <c r="DK6" i="3"/>
  <c r="DJ6" i="3"/>
  <c r="DH6" i="3"/>
  <c r="DG6" i="3"/>
  <c r="DF6" i="3"/>
  <c r="DE6" i="3"/>
  <c r="DD6" i="3"/>
  <c r="DC6" i="3"/>
  <c r="DB6" i="3"/>
  <c r="DA6" i="3"/>
  <c r="CZ6" i="3"/>
  <c r="CY6" i="3"/>
  <c r="CX6" i="3"/>
  <c r="CV6" i="3"/>
  <c r="CU6" i="3"/>
  <c r="CT6" i="3"/>
  <c r="CS6" i="3"/>
  <c r="CA6" i="3"/>
  <c r="BT6" i="3"/>
  <c r="BS6" i="3"/>
  <c r="BP6" i="3"/>
  <c r="BO6" i="3"/>
  <c r="BN6" i="3"/>
  <c r="BM6" i="3"/>
  <c r="BL6" i="3"/>
  <c r="BK6" i="3"/>
  <c r="BJ6" i="3"/>
  <c r="BI6" i="3"/>
  <c r="BH6" i="3"/>
  <c r="BG6" i="3"/>
  <c r="BF6" i="3"/>
  <c r="BD6" i="3"/>
  <c r="BC6" i="3"/>
  <c r="BB6" i="3"/>
  <c r="BA6" i="3"/>
  <c r="AI6" i="3"/>
  <c r="BE6" i="3" s="1"/>
  <c r="G6" i="3"/>
  <c r="DK5" i="3"/>
  <c r="DJ5" i="3"/>
  <c r="DH5" i="3"/>
  <c r="DG5" i="3"/>
  <c r="DF5" i="3"/>
  <c r="DE5" i="3"/>
  <c r="DD5" i="3"/>
  <c r="DC5" i="3"/>
  <c r="DB5" i="3"/>
  <c r="DA5" i="3"/>
  <c r="CZ5" i="3"/>
  <c r="CY5" i="3"/>
  <c r="CX5" i="3"/>
  <c r="CV5" i="3"/>
  <c r="CU5" i="3"/>
  <c r="CT5" i="3"/>
  <c r="CS5" i="3"/>
  <c r="CP5" i="3"/>
  <c r="CA5" i="3"/>
  <c r="CW5" i="3" s="1"/>
  <c r="BS5" i="3"/>
  <c r="BP5" i="3"/>
  <c r="BO5" i="3"/>
  <c r="BN5" i="3"/>
  <c r="BM5" i="3"/>
  <c r="BL5" i="3"/>
  <c r="BK5" i="3"/>
  <c r="BJ5" i="3"/>
  <c r="BI5" i="3"/>
  <c r="BH5" i="3"/>
  <c r="BG5" i="3"/>
  <c r="BF5" i="3"/>
  <c r="BD5" i="3"/>
  <c r="BC5" i="3"/>
  <c r="BB5" i="3"/>
  <c r="BA5" i="3"/>
  <c r="AX5" i="3"/>
  <c r="BT5" i="3" s="1"/>
  <c r="AI5" i="3"/>
  <c r="AA5" i="3"/>
  <c r="G5" i="3"/>
  <c r="DL4" i="3"/>
  <c r="DK4" i="3"/>
  <c r="DJ4" i="3"/>
  <c r="DH4" i="3"/>
  <c r="DG4" i="3"/>
  <c r="DF4" i="3"/>
  <c r="DE4" i="3"/>
  <c r="DD4" i="3"/>
  <c r="DC4" i="3"/>
  <c r="DB4" i="3"/>
  <c r="DA4" i="3"/>
  <c r="CZ4" i="3"/>
  <c r="CY4" i="3"/>
  <c r="CX4" i="3"/>
  <c r="CV4" i="3"/>
  <c r="CU4" i="3"/>
  <c r="CT4" i="3"/>
  <c r="CS4" i="3"/>
  <c r="CA4" i="3"/>
  <c r="CW4" i="3" s="1"/>
  <c r="BV4" i="3"/>
  <c r="BU4" i="3" s="1"/>
  <c r="CQ4" i="3" s="1"/>
  <c r="BT4" i="3"/>
  <c r="BS4" i="3"/>
  <c r="BR4" i="3"/>
  <c r="BR136" i="3" s="1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D4" i="3"/>
  <c r="AC4" i="3" s="1"/>
  <c r="AY4" i="3" s="1"/>
  <c r="G4" i="3"/>
  <c r="AD15" i="3" l="1"/>
  <c r="CU22" i="3"/>
  <c r="AD100" i="3"/>
  <c r="AC100" i="3" s="1"/>
  <c r="AY100" i="3" s="1"/>
  <c r="AD105" i="3"/>
  <c r="BV113" i="3"/>
  <c r="BU113" i="3" s="1"/>
  <c r="CQ113" i="3" s="1"/>
  <c r="AG20" i="3"/>
  <c r="BV8" i="3"/>
  <c r="AG108" i="3"/>
  <c r="AD49" i="3"/>
  <c r="AC49" i="3" s="1"/>
  <c r="AY49" i="3" s="1"/>
  <c r="BV97" i="3"/>
  <c r="AD125" i="3"/>
  <c r="AC125" i="3" s="1"/>
  <c r="AY125" i="3" s="1"/>
  <c r="DH102" i="3"/>
  <c r="AD9" i="3"/>
  <c r="CU49" i="3"/>
  <c r="BV101" i="3"/>
  <c r="AC126" i="3"/>
  <c r="AY126" i="3" s="1"/>
  <c r="BY58" i="3"/>
  <c r="DE62" i="3"/>
  <c r="BE70" i="3"/>
  <c r="DL102" i="3"/>
  <c r="CK38" i="3"/>
  <c r="DG38" i="3" s="1"/>
  <c r="BU77" i="3"/>
  <c r="CQ77" i="3" s="1"/>
  <c r="BV95" i="3"/>
  <c r="BU95" i="3" s="1"/>
  <c r="CQ95" i="3" s="1"/>
  <c r="BT115" i="3"/>
  <c r="BV122" i="3"/>
  <c r="BU122" i="3" s="1"/>
  <c r="CQ122" i="3" s="1"/>
  <c r="BV14" i="3"/>
  <c r="BU14" i="3" s="1"/>
  <c r="CQ14" i="3" s="1"/>
  <c r="AZ34" i="3"/>
  <c r="AD42" i="3"/>
  <c r="BU86" i="3"/>
  <c r="CQ86" i="3" s="1"/>
  <c r="AD115" i="3"/>
  <c r="J108" i="3"/>
  <c r="AA108" i="3"/>
  <c r="AJ20" i="3"/>
  <c r="AC24" i="3"/>
  <c r="AY24" i="3" s="1"/>
  <c r="AC31" i="3"/>
  <c r="AY31" i="3" s="1"/>
  <c r="CR33" i="3"/>
  <c r="DL38" i="3"/>
  <c r="BV59" i="3"/>
  <c r="AC97" i="3"/>
  <c r="AY97" i="3" s="1"/>
  <c r="BP101" i="3"/>
  <c r="AZ101" i="3" s="1"/>
  <c r="CP133" i="3"/>
  <c r="BU116" i="3"/>
  <c r="CQ116" i="3" s="1"/>
  <c r="AC123" i="3"/>
  <c r="AY123" i="3" s="1"/>
  <c r="AZ125" i="3"/>
  <c r="BB134" i="3"/>
  <c r="G17" i="3"/>
  <c r="AC17" i="3" s="1"/>
  <c r="AY17" i="3" s="1"/>
  <c r="BU17" i="3"/>
  <c r="CQ17" i="3" s="1"/>
  <c r="BV19" i="3"/>
  <c r="CU21" i="3"/>
  <c r="CR22" i="3"/>
  <c r="AD23" i="3"/>
  <c r="AD44" i="3"/>
  <c r="AC44" i="3" s="1"/>
  <c r="AY44" i="3" s="1"/>
  <c r="G56" i="3"/>
  <c r="BU72" i="3"/>
  <c r="CQ72" i="3" s="1"/>
  <c r="BV98" i="3"/>
  <c r="BU98" i="3" s="1"/>
  <c r="CQ98" i="3" s="1"/>
  <c r="AD102" i="3"/>
  <c r="DL103" i="3"/>
  <c r="AD110" i="3"/>
  <c r="CR113" i="3"/>
  <c r="AZ116" i="3"/>
  <c r="DL116" i="3"/>
  <c r="CR116" i="3" s="1"/>
  <c r="DG119" i="3"/>
  <c r="BE17" i="3"/>
  <c r="CR79" i="3"/>
  <c r="BU97" i="3"/>
  <c r="CQ97" i="3" s="1"/>
  <c r="CX128" i="3"/>
  <c r="BU126" i="3"/>
  <c r="CQ126" i="3" s="1"/>
  <c r="AC34" i="3"/>
  <c r="AY34" i="3" s="1"/>
  <c r="CX56" i="3"/>
  <c r="CP135" i="3"/>
  <c r="J140" i="3"/>
  <c r="L134" i="3"/>
  <c r="CU9" i="3"/>
  <c r="CW9" i="3"/>
  <c r="CR11" i="3"/>
  <c r="BU12" i="3"/>
  <c r="CQ12" i="3" s="1"/>
  <c r="CR18" i="3"/>
  <c r="BU22" i="3"/>
  <c r="CQ22" i="3" s="1"/>
  <c r="BU40" i="3"/>
  <c r="CQ40" i="3" s="1"/>
  <c r="AZ46" i="3"/>
  <c r="AD48" i="3"/>
  <c r="AC53" i="3"/>
  <c r="AY53" i="3" s="1"/>
  <c r="BV56" i="3"/>
  <c r="Z58" i="3"/>
  <c r="G71" i="3"/>
  <c r="BE80" i="3"/>
  <c r="BE81" i="3"/>
  <c r="AZ81" i="3" s="1"/>
  <c r="AD89" i="3"/>
  <c r="AC89" i="3" s="1"/>
  <c r="AY89" i="3" s="1"/>
  <c r="CP108" i="3"/>
  <c r="AD103" i="3"/>
  <c r="AC103" i="3" s="1"/>
  <c r="AY103" i="3" s="1"/>
  <c r="BC107" i="3"/>
  <c r="BC108" i="3" s="1"/>
  <c r="BI109" i="3"/>
  <c r="BT109" i="3"/>
  <c r="DA109" i="3"/>
  <c r="AD114" i="3"/>
  <c r="AC114" i="3" s="1"/>
  <c r="AY114" i="3" s="1"/>
  <c r="DL101" i="3"/>
  <c r="CR101" i="3" s="1"/>
  <c r="J128" i="3"/>
  <c r="CO58" i="3"/>
  <c r="CO130" i="3" s="1"/>
  <c r="DL61" i="3"/>
  <c r="CR61" i="3" s="1"/>
  <c r="BU23" i="3"/>
  <c r="CQ23" i="3" s="1"/>
  <c r="AC61" i="3"/>
  <c r="AY61" i="3" s="1"/>
  <c r="BU101" i="3"/>
  <c r="CQ101" i="3" s="1"/>
  <c r="BY132" i="3"/>
  <c r="CP134" i="3"/>
  <c r="AZ18" i="3"/>
  <c r="BU21" i="3"/>
  <c r="CQ21" i="3" s="1"/>
  <c r="DG27" i="3"/>
  <c r="CR36" i="3"/>
  <c r="BU37" i="3"/>
  <c r="CQ37" i="3" s="1"/>
  <c r="DE38" i="3"/>
  <c r="DE58" i="3" s="1"/>
  <c r="CW64" i="3"/>
  <c r="CR64" i="3" s="1"/>
  <c r="CW71" i="3"/>
  <c r="CR71" i="3" s="1"/>
  <c r="T91" i="3"/>
  <c r="BT103" i="3"/>
  <c r="AZ103" i="3" s="1"/>
  <c r="DG133" i="3"/>
  <c r="BI128" i="3"/>
  <c r="G119" i="3"/>
  <c r="J132" i="3"/>
  <c r="BU87" i="3"/>
  <c r="CQ87" i="3" s="1"/>
  <c r="BT101" i="3"/>
  <c r="AA140" i="3"/>
  <c r="AC21" i="3"/>
  <c r="AY21" i="3" s="1"/>
  <c r="BT40" i="3"/>
  <c r="AZ40" i="3" s="1"/>
  <c r="BU76" i="3"/>
  <c r="CQ76" i="3" s="1"/>
  <c r="AD8" i="3"/>
  <c r="DE134" i="3"/>
  <c r="BC9" i="3"/>
  <c r="BI134" i="3"/>
  <c r="BS134" i="3"/>
  <c r="AC18" i="3"/>
  <c r="AY18" i="3" s="1"/>
  <c r="AZ29" i="3"/>
  <c r="BV33" i="3"/>
  <c r="CI58" i="3"/>
  <c r="CX59" i="3"/>
  <c r="CX137" i="3" s="1"/>
  <c r="BU85" i="3"/>
  <c r="CQ85" i="3" s="1"/>
  <c r="BD108" i="3"/>
  <c r="AC99" i="3"/>
  <c r="AY99" i="3" s="1"/>
  <c r="G107" i="3"/>
  <c r="CU109" i="3"/>
  <c r="CU132" i="3" s="1"/>
  <c r="DH133" i="3"/>
  <c r="G118" i="3"/>
  <c r="BU118" i="3" s="1"/>
  <c r="CQ118" i="3" s="1"/>
  <c r="CR118" i="3"/>
  <c r="CU119" i="3"/>
  <c r="CR119" i="3" s="1"/>
  <c r="BO119" i="3"/>
  <c r="BO133" i="3" s="1"/>
  <c r="DF121" i="3"/>
  <c r="DF128" i="3" s="1"/>
  <c r="CR124" i="3"/>
  <c r="BE15" i="3"/>
  <c r="AZ15" i="3" s="1"/>
  <c r="BO47" i="3"/>
  <c r="AZ47" i="3" s="1"/>
  <c r="AO128" i="3"/>
  <c r="AD6" i="3"/>
  <c r="AC6" i="3" s="1"/>
  <c r="AY6" i="3" s="1"/>
  <c r="AW135" i="3"/>
  <c r="AW139" i="3" s="1"/>
  <c r="AW141" i="3" s="1"/>
  <c r="BV53" i="3"/>
  <c r="BU53" i="3" s="1"/>
  <c r="CQ53" i="3" s="1"/>
  <c r="BV54" i="3"/>
  <c r="AZ55" i="3"/>
  <c r="BV66" i="3"/>
  <c r="BU66" i="3" s="1"/>
  <c r="CQ66" i="3" s="1"/>
  <c r="DL90" i="3"/>
  <c r="CR90" i="3" s="1"/>
  <c r="CP91" i="3"/>
  <c r="BP97" i="3"/>
  <c r="AZ97" i="3" s="1"/>
  <c r="BC115" i="3"/>
  <c r="AZ115" i="3" s="1"/>
  <c r="CR126" i="3"/>
  <c r="AV128" i="3"/>
  <c r="AV130" i="3" s="1"/>
  <c r="CK108" i="3"/>
  <c r="CR53" i="3"/>
  <c r="CR66" i="3"/>
  <c r="CG133" i="3"/>
  <c r="AD13" i="3"/>
  <c r="AC13" i="3" s="1"/>
  <c r="AY13" i="3" s="1"/>
  <c r="CI20" i="3"/>
  <c r="BV42" i="3"/>
  <c r="BU42" i="3" s="1"/>
  <c r="CQ42" i="3" s="1"/>
  <c r="BV47" i="3"/>
  <c r="BU47" i="3" s="1"/>
  <c r="CQ47" i="3" s="1"/>
  <c r="CW70" i="3"/>
  <c r="CR70" i="3" s="1"/>
  <c r="BE76" i="3"/>
  <c r="AZ76" i="3" s="1"/>
  <c r="CW87" i="3"/>
  <c r="CR87" i="3" s="1"/>
  <c r="BV94" i="3"/>
  <c r="BU94" i="3" s="1"/>
  <c r="CQ94" i="3" s="1"/>
  <c r="CR45" i="3"/>
  <c r="BU31" i="3"/>
  <c r="CQ31" i="3" s="1"/>
  <c r="DL59" i="3"/>
  <c r="BF13" i="3"/>
  <c r="BF136" i="3" s="1"/>
  <c r="BV44" i="3"/>
  <c r="BU44" i="3" s="1"/>
  <c r="CQ44" i="3" s="1"/>
  <c r="BV45" i="3"/>
  <c r="BU45" i="3" s="1"/>
  <c r="CQ45" i="3" s="1"/>
  <c r="AC76" i="3"/>
  <c r="AY76" i="3" s="1"/>
  <c r="CR86" i="3"/>
  <c r="AZ87" i="3"/>
  <c r="BV115" i="3"/>
  <c r="BV15" i="3"/>
  <c r="BU15" i="3" s="1"/>
  <c r="CQ15" i="3" s="1"/>
  <c r="BC48" i="3"/>
  <c r="AD66" i="3"/>
  <c r="AC66" i="3" s="1"/>
  <c r="AY66" i="3" s="1"/>
  <c r="AZ121" i="3"/>
  <c r="CU108" i="3"/>
  <c r="AZ99" i="3"/>
  <c r="AZ100" i="3"/>
  <c r="AC105" i="3"/>
  <c r="AY105" i="3" s="1"/>
  <c r="AW130" i="3"/>
  <c r="AC94" i="3"/>
  <c r="AY94" i="3" s="1"/>
  <c r="BG108" i="3"/>
  <c r="CR100" i="3"/>
  <c r="BH108" i="3"/>
  <c r="CD130" i="3"/>
  <c r="Y130" i="3"/>
  <c r="AN130" i="3"/>
  <c r="BU99" i="3"/>
  <c r="CQ99" i="3" s="1"/>
  <c r="DB108" i="3"/>
  <c r="BR140" i="3"/>
  <c r="H130" i="3"/>
  <c r="AC101" i="3"/>
  <c r="AY101" i="3" s="1"/>
  <c r="CR76" i="3"/>
  <c r="AZ79" i="3"/>
  <c r="AC85" i="3"/>
  <c r="AY85" i="3" s="1"/>
  <c r="AC67" i="3"/>
  <c r="AY67" i="3" s="1"/>
  <c r="CR83" i="3"/>
  <c r="CR85" i="3"/>
  <c r="DG91" i="3"/>
  <c r="AZ67" i="3"/>
  <c r="AC60" i="3"/>
  <c r="AY60" i="3" s="1"/>
  <c r="BU62" i="3"/>
  <c r="CQ62" i="3" s="1"/>
  <c r="BU70" i="3"/>
  <c r="CQ70" i="3" s="1"/>
  <c r="AC74" i="3"/>
  <c r="AY74" i="3" s="1"/>
  <c r="CM139" i="3"/>
  <c r="CM141" i="3" s="1"/>
  <c r="P130" i="3"/>
  <c r="CR74" i="3"/>
  <c r="AZ86" i="3"/>
  <c r="BB91" i="3"/>
  <c r="AC79" i="3"/>
  <c r="AY79" i="3" s="1"/>
  <c r="DK91" i="3"/>
  <c r="BR91" i="3"/>
  <c r="AC77" i="3"/>
  <c r="AY77" i="3" s="1"/>
  <c r="CC130" i="3"/>
  <c r="AC62" i="3"/>
  <c r="AY62" i="3" s="1"/>
  <c r="BU67" i="3"/>
  <c r="CQ67" i="3" s="1"/>
  <c r="AZ80" i="3"/>
  <c r="AZ82" i="3"/>
  <c r="CW58" i="3"/>
  <c r="BI58" i="3"/>
  <c r="CR27" i="3"/>
  <c r="CR40" i="3"/>
  <c r="CV58" i="3"/>
  <c r="AZ36" i="3"/>
  <c r="AC45" i="3"/>
  <c r="AY45" i="3" s="1"/>
  <c r="CR47" i="3"/>
  <c r="CR48" i="3"/>
  <c r="Z130" i="3"/>
  <c r="CR24" i="3"/>
  <c r="CZ58" i="3"/>
  <c r="AC28" i="3"/>
  <c r="AY28" i="3" s="1"/>
  <c r="AZ42" i="3"/>
  <c r="CR44" i="3"/>
  <c r="CE130" i="3"/>
  <c r="CR31" i="3"/>
  <c r="T130" i="3"/>
  <c r="DA58" i="3"/>
  <c r="AC32" i="3"/>
  <c r="AY32" i="3" s="1"/>
  <c r="AC35" i="3"/>
  <c r="AY35" i="3" s="1"/>
  <c r="CR55" i="3"/>
  <c r="U130" i="3"/>
  <c r="BU32" i="3"/>
  <c r="CQ32" i="3" s="1"/>
  <c r="AZ51" i="3"/>
  <c r="BN135" i="3"/>
  <c r="CR26" i="3"/>
  <c r="AC42" i="3"/>
  <c r="AY42" i="3" s="1"/>
  <c r="BU49" i="3"/>
  <c r="CQ49" i="3" s="1"/>
  <c r="BU51" i="3"/>
  <c r="CQ51" i="3" s="1"/>
  <c r="AZ23" i="3"/>
  <c r="CR42" i="3"/>
  <c r="CR37" i="3"/>
  <c r="DJ58" i="3"/>
  <c r="Y139" i="3"/>
  <c r="Y141" i="3" s="1"/>
  <c r="CR28" i="3"/>
  <c r="BU29" i="3"/>
  <c r="CQ29" i="3" s="1"/>
  <c r="CR32" i="3"/>
  <c r="BD58" i="3"/>
  <c r="BU34" i="3"/>
  <c r="CQ34" i="3" s="1"/>
  <c r="CR35" i="3"/>
  <c r="AZ44" i="3"/>
  <c r="CR51" i="3"/>
  <c r="BQ58" i="3"/>
  <c r="BQ130" i="3" s="1"/>
  <c r="AF139" i="3"/>
  <c r="CR19" i="3"/>
  <c r="CC139" i="3"/>
  <c r="CC141" i="3" s="1"/>
  <c r="BB136" i="3"/>
  <c r="BJ20" i="3"/>
  <c r="BS136" i="3"/>
  <c r="AC10" i="3"/>
  <c r="AY10" i="3" s="1"/>
  <c r="AZ17" i="3"/>
  <c r="BR20" i="3"/>
  <c r="CD139" i="3"/>
  <c r="CD141" i="3" s="1"/>
  <c r="AZ6" i="3"/>
  <c r="T139" i="3"/>
  <c r="T141" i="3" s="1"/>
  <c r="CY20" i="3"/>
  <c r="BL20" i="3"/>
  <c r="BD134" i="3"/>
  <c r="DB134" i="3"/>
  <c r="DK134" i="3"/>
  <c r="AZ14" i="3"/>
  <c r="AC15" i="3"/>
  <c r="AY15" i="3" s="1"/>
  <c r="BU19" i="3"/>
  <c r="CQ19" i="3" s="1"/>
  <c r="P139" i="3"/>
  <c r="P141" i="3" s="1"/>
  <c r="AV139" i="3"/>
  <c r="AV141" i="3" s="1"/>
  <c r="DC20" i="3"/>
  <c r="CL139" i="3"/>
  <c r="BI20" i="3"/>
  <c r="BD20" i="3"/>
  <c r="AZ12" i="3"/>
  <c r="DJ136" i="3"/>
  <c r="BU10" i="3"/>
  <c r="CQ10" i="3" s="1"/>
  <c r="H139" i="3"/>
  <c r="H141" i="3" s="1"/>
  <c r="AK139" i="3"/>
  <c r="AK141" i="3" s="1"/>
  <c r="CF139" i="3"/>
  <c r="CF141" i="3" s="1"/>
  <c r="DC136" i="3"/>
  <c r="AC12" i="3"/>
  <c r="AY12" i="3" s="1"/>
  <c r="CR17" i="3"/>
  <c r="BO20" i="3"/>
  <c r="CT136" i="3"/>
  <c r="DB136" i="3"/>
  <c r="DK136" i="3"/>
  <c r="CT134" i="3"/>
  <c r="CZ20" i="3"/>
  <c r="DH20" i="3"/>
  <c r="CR14" i="3"/>
  <c r="DG20" i="3"/>
  <c r="AD138" i="3"/>
  <c r="AC138" i="3" s="1"/>
  <c r="AY138" i="3" s="1"/>
  <c r="W139" i="3"/>
  <c r="W141" i="3" s="1"/>
  <c r="AU139" i="3"/>
  <c r="AU141" i="3" s="1"/>
  <c r="DK58" i="3"/>
  <c r="BU43" i="3"/>
  <c r="CQ43" i="3" s="1"/>
  <c r="CR39" i="3"/>
  <c r="AQ135" i="3"/>
  <c r="BM37" i="3"/>
  <c r="BM135" i="3" s="1"/>
  <c r="AD37" i="3"/>
  <c r="AC37" i="3" s="1"/>
  <c r="AY37" i="3" s="1"/>
  <c r="DL52" i="3"/>
  <c r="BT52" i="3"/>
  <c r="AZ52" i="3" s="1"/>
  <c r="G52" i="3"/>
  <c r="AC52" i="3" s="1"/>
  <c r="AY52" i="3" s="1"/>
  <c r="G57" i="3"/>
  <c r="AC57" i="3" s="1"/>
  <c r="AY57" i="3" s="1"/>
  <c r="BT57" i="3"/>
  <c r="AZ57" i="3" s="1"/>
  <c r="AP137" i="3"/>
  <c r="AP91" i="3"/>
  <c r="BL64" i="3"/>
  <c r="BL91" i="3" s="1"/>
  <c r="BI108" i="3"/>
  <c r="BI140" i="3"/>
  <c r="CY140" i="3"/>
  <c r="CY108" i="3"/>
  <c r="DL112" i="3"/>
  <c r="BT112" i="3"/>
  <c r="AA133" i="3"/>
  <c r="BL134" i="3"/>
  <c r="BY134" i="3"/>
  <c r="BY20" i="3"/>
  <c r="CZ134" i="3"/>
  <c r="AO130" i="3"/>
  <c r="BB20" i="3"/>
  <c r="BS20" i="3"/>
  <c r="DB20" i="3"/>
  <c r="BG135" i="3"/>
  <c r="CT135" i="3"/>
  <c r="CT58" i="3"/>
  <c r="DB135" i="3"/>
  <c r="DB58" i="3"/>
  <c r="DK135" i="3"/>
  <c r="CS58" i="3"/>
  <c r="AC27" i="3"/>
  <c r="AY27" i="3" s="1"/>
  <c r="AA135" i="3"/>
  <c r="AA58" i="3"/>
  <c r="AC36" i="3"/>
  <c r="AY36" i="3" s="1"/>
  <c r="DL57" i="3"/>
  <c r="CR57" i="3" s="1"/>
  <c r="BL137" i="3"/>
  <c r="BI91" i="3"/>
  <c r="BI130" i="3" s="1"/>
  <c r="CR77" i="3"/>
  <c r="CL140" i="3"/>
  <c r="DH93" i="3"/>
  <c r="CR93" i="3" s="1"/>
  <c r="CL108" i="3"/>
  <c r="CL130" i="3" s="1"/>
  <c r="BV93" i="3"/>
  <c r="BA136" i="3"/>
  <c r="AZ4" i="3"/>
  <c r="BI136" i="3"/>
  <c r="CP136" i="3"/>
  <c r="CP20" i="3"/>
  <c r="BV5" i="3"/>
  <c r="BT7" i="3"/>
  <c r="BT136" i="3" s="1"/>
  <c r="AD7" i="3"/>
  <c r="J134" i="3"/>
  <c r="G8" i="3"/>
  <c r="CU8" i="3"/>
  <c r="BC8" i="3"/>
  <c r="BE8" i="3"/>
  <c r="BM134" i="3"/>
  <c r="DA134" i="3"/>
  <c r="DJ134" i="3"/>
  <c r="AZ10" i="3"/>
  <c r="AC11" i="3"/>
  <c r="AY11" i="3" s="1"/>
  <c r="AC14" i="3"/>
  <c r="AY14" i="3" s="1"/>
  <c r="AQ136" i="3"/>
  <c r="AQ20" i="3"/>
  <c r="AG135" i="3"/>
  <c r="BC21" i="3"/>
  <c r="AG58" i="3"/>
  <c r="BH135" i="3"/>
  <c r="BH58" i="3"/>
  <c r="BP58" i="3"/>
  <c r="DC135" i="3"/>
  <c r="DC58" i="3"/>
  <c r="AZ24" i="3"/>
  <c r="AC30" i="3"/>
  <c r="AY30" i="3" s="1"/>
  <c r="DL30" i="3"/>
  <c r="CR30" i="3" s="1"/>
  <c r="DG34" i="3"/>
  <c r="AZ35" i="3"/>
  <c r="BT38" i="3"/>
  <c r="AZ38" i="3" s="1"/>
  <c r="BU46" i="3"/>
  <c r="CQ46" i="3" s="1"/>
  <c r="AC46" i="3"/>
  <c r="AY46" i="3" s="1"/>
  <c r="CR46" i="3"/>
  <c r="BO56" i="3"/>
  <c r="AD56" i="3"/>
  <c r="AC56" i="3" s="1"/>
  <c r="AY56" i="3" s="1"/>
  <c r="BD137" i="3"/>
  <c r="BD91" i="3"/>
  <c r="CZ91" i="3"/>
  <c r="DF91" i="3"/>
  <c r="DL68" i="3"/>
  <c r="CR68" i="3" s="1"/>
  <c r="BT68" i="3"/>
  <c r="AZ68" i="3" s="1"/>
  <c r="G68" i="3"/>
  <c r="AC68" i="3" s="1"/>
  <c r="AY68" i="3" s="1"/>
  <c r="AZ71" i="3"/>
  <c r="AZ74" i="3"/>
  <c r="CU91" i="3"/>
  <c r="AD122" i="3"/>
  <c r="AC122" i="3" s="1"/>
  <c r="AY122" i="3" s="1"/>
  <c r="BE122" i="3"/>
  <c r="AZ122" i="3" s="1"/>
  <c r="AI128" i="3"/>
  <c r="CS136" i="3"/>
  <c r="CR4" i="3"/>
  <c r="CS20" i="3"/>
  <c r="DA136" i="3"/>
  <c r="DA20" i="3"/>
  <c r="DD136" i="3"/>
  <c r="DD20" i="3"/>
  <c r="BO33" i="3"/>
  <c r="DG43" i="3"/>
  <c r="CR43" i="3" s="1"/>
  <c r="BO43" i="3"/>
  <c r="AZ43" i="3" s="1"/>
  <c r="AZ48" i="3"/>
  <c r="BO50" i="3"/>
  <c r="AZ50" i="3" s="1"/>
  <c r="DG50" i="3"/>
  <c r="G50" i="3"/>
  <c r="CA137" i="3"/>
  <c r="CA91" i="3"/>
  <c r="BK91" i="3"/>
  <c r="BN128" i="3"/>
  <c r="BN132" i="3"/>
  <c r="CT132" i="3"/>
  <c r="CT128" i="3"/>
  <c r="DE132" i="3"/>
  <c r="DC110" i="3"/>
  <c r="BK110" i="3"/>
  <c r="BY133" i="3"/>
  <c r="CU112" i="3"/>
  <c r="CR112" i="3" s="1"/>
  <c r="BV112" i="3"/>
  <c r="AZ11" i="3"/>
  <c r="G16" i="3"/>
  <c r="AC16" i="3" s="1"/>
  <c r="AY16" i="3" s="1"/>
  <c r="BT16" i="3"/>
  <c r="AZ16" i="3" s="1"/>
  <c r="DL16" i="3"/>
  <c r="CR16" i="3" s="1"/>
  <c r="BA135" i="3"/>
  <c r="BA58" i="3"/>
  <c r="V135" i="3"/>
  <c r="V139" i="3" s="1"/>
  <c r="V58" i="3"/>
  <c r="G26" i="3"/>
  <c r="BU27" i="3"/>
  <c r="CQ27" i="3" s="1"/>
  <c r="BO28" i="3"/>
  <c r="AZ28" i="3" s="1"/>
  <c r="CR34" i="3"/>
  <c r="CH135" i="3"/>
  <c r="CH58" i="3"/>
  <c r="CH130" i="3" s="1"/>
  <c r="BV41" i="3"/>
  <c r="BU41" i="3" s="1"/>
  <c r="CQ41" i="3" s="1"/>
  <c r="DD41" i="3"/>
  <c r="CR41" i="3" s="1"/>
  <c r="AC43" i="3"/>
  <c r="AY43" i="3" s="1"/>
  <c r="AZ53" i="3"/>
  <c r="G54" i="3"/>
  <c r="BC54" i="3"/>
  <c r="AZ54" i="3" s="1"/>
  <c r="CU54" i="3"/>
  <c r="CR54" i="3" s="1"/>
  <c r="J58" i="3"/>
  <c r="AQ58" i="3"/>
  <c r="BE58" i="3"/>
  <c r="BG137" i="3"/>
  <c r="BG91" i="3"/>
  <c r="BO137" i="3"/>
  <c r="BO91" i="3"/>
  <c r="L137" i="3"/>
  <c r="G63" i="3"/>
  <c r="AC63" i="3" s="1"/>
  <c r="AY63" i="3" s="1"/>
  <c r="L91" i="3"/>
  <c r="CW63" i="3"/>
  <c r="CR63" i="3" s="1"/>
  <c r="BE63" i="3"/>
  <c r="CR72" i="3"/>
  <c r="DL88" i="3"/>
  <c r="CR88" i="3" s="1"/>
  <c r="BT88" i="3"/>
  <c r="AZ88" i="3" s="1"/>
  <c r="G88" i="3"/>
  <c r="BU88" i="3" s="1"/>
  <c r="CQ88" i="3" s="1"/>
  <c r="BA133" i="3"/>
  <c r="BJ133" i="3"/>
  <c r="BD136" i="3"/>
  <c r="BL136" i="3"/>
  <c r="AG134" i="3"/>
  <c r="AD134" i="3" s="1"/>
  <c r="CV134" i="3"/>
  <c r="DD134" i="3"/>
  <c r="G9" i="3"/>
  <c r="AC9" i="3" s="1"/>
  <c r="AY9" i="3" s="1"/>
  <c r="DL9" i="3"/>
  <c r="CW15" i="3"/>
  <c r="DE15" i="3"/>
  <c r="DE20" i="3" s="1"/>
  <c r="AK130" i="3"/>
  <c r="BX130" i="3"/>
  <c r="CT20" i="3"/>
  <c r="AC23" i="3"/>
  <c r="AY23" i="3" s="1"/>
  <c r="CR23" i="3"/>
  <c r="AC29" i="3"/>
  <c r="AY29" i="3" s="1"/>
  <c r="CR29" i="3"/>
  <c r="BT30" i="3"/>
  <c r="DI135" i="3"/>
  <c r="DI139" i="3" s="1"/>
  <c r="DI141" i="3" s="1"/>
  <c r="DI58" i="3"/>
  <c r="AZ33" i="3"/>
  <c r="AC40" i="3"/>
  <c r="AY40" i="3" s="1"/>
  <c r="AC47" i="3"/>
  <c r="AY47" i="3" s="1"/>
  <c r="AX137" i="3"/>
  <c r="AX91" i="3"/>
  <c r="BT59" i="3"/>
  <c r="AD59" i="3"/>
  <c r="AS140" i="3"/>
  <c r="AD107" i="3"/>
  <c r="AS108" i="3"/>
  <c r="L136" i="3"/>
  <c r="G7" i="3"/>
  <c r="BU7" i="3" s="1"/>
  <c r="CQ7" i="3" s="1"/>
  <c r="L20" i="3"/>
  <c r="BE7" i="3"/>
  <c r="J130" i="3"/>
  <c r="BA20" i="3"/>
  <c r="BA130" i="3" s="1"/>
  <c r="CK135" i="3"/>
  <c r="CK139" i="3" s="1"/>
  <c r="CK141" i="3" s="1"/>
  <c r="CK58" i="3"/>
  <c r="CK130" i="3" s="1"/>
  <c r="DG25" i="3"/>
  <c r="CR25" i="3" s="1"/>
  <c r="CV136" i="3"/>
  <c r="CV20" i="3"/>
  <c r="CS134" i="3"/>
  <c r="BI135" i="3"/>
  <c r="AA136" i="3"/>
  <c r="DL5" i="3"/>
  <c r="DL136" i="3" s="1"/>
  <c r="CR5" i="3"/>
  <c r="BE19" i="3"/>
  <c r="AZ19" i="3" s="1"/>
  <c r="AD19" i="3"/>
  <c r="AC19" i="3" s="1"/>
  <c r="AY19" i="3" s="1"/>
  <c r="BM136" i="3"/>
  <c r="AX136" i="3"/>
  <c r="AD5" i="3"/>
  <c r="AC5" i="3" s="1"/>
  <c r="AY5" i="3" s="1"/>
  <c r="AX20" i="3"/>
  <c r="CR12" i="3"/>
  <c r="AR136" i="3"/>
  <c r="AR139" i="3" s="1"/>
  <c r="AR141" i="3" s="1"/>
  <c r="AR20" i="3"/>
  <c r="DJ20" i="3"/>
  <c r="CY135" i="3"/>
  <c r="CY58" i="3"/>
  <c r="AZ25" i="3"/>
  <c r="BU30" i="3"/>
  <c r="CQ30" i="3" s="1"/>
  <c r="BU33" i="3"/>
  <c r="CQ33" i="3" s="1"/>
  <c r="CR38" i="3"/>
  <c r="BO45" i="3"/>
  <c r="AZ45" i="3" s="1"/>
  <c r="AZ49" i="3"/>
  <c r="BN58" i="3"/>
  <c r="AZ66" i="3"/>
  <c r="AD78" i="3"/>
  <c r="AC78" i="3" s="1"/>
  <c r="AY78" i="3" s="1"/>
  <c r="BE78" i="3"/>
  <c r="AZ78" i="3" s="1"/>
  <c r="DF108" i="3"/>
  <c r="BF132" i="3"/>
  <c r="BF128" i="3"/>
  <c r="BA140" i="3"/>
  <c r="BU36" i="3"/>
  <c r="CQ36" i="3" s="1"/>
  <c r="AP135" i="3"/>
  <c r="AP58" i="3"/>
  <c r="AD41" i="3"/>
  <c r="AC41" i="3" s="1"/>
  <c r="AY41" i="3" s="1"/>
  <c r="BL41" i="3"/>
  <c r="BL135" i="3" s="1"/>
  <c r="BJ136" i="3"/>
  <c r="CW6" i="3"/>
  <c r="CR6" i="3" s="1"/>
  <c r="BV6" i="3"/>
  <c r="BU6" i="3" s="1"/>
  <c r="CQ6" i="3" s="1"/>
  <c r="CW7" i="3"/>
  <c r="CR7" i="3" s="1"/>
  <c r="CW13" i="3"/>
  <c r="BV13" i="3"/>
  <c r="BU13" i="3" s="1"/>
  <c r="CQ13" i="3" s="1"/>
  <c r="BG58" i="3"/>
  <c r="BK58" i="3"/>
  <c r="CU114" i="3"/>
  <c r="BV114" i="3"/>
  <c r="BU114" i="3" s="1"/>
  <c r="CQ114" i="3" s="1"/>
  <c r="CB136" i="3"/>
  <c r="CB139" i="3" s="1"/>
  <c r="CB141" i="3" s="1"/>
  <c r="CX13" i="3"/>
  <c r="CX136" i="3" s="1"/>
  <c r="CB20" i="3"/>
  <c r="AD22" i="3"/>
  <c r="AC22" i="3" s="1"/>
  <c r="AY22" i="3" s="1"/>
  <c r="BC22" i="3"/>
  <c r="AZ22" i="3" s="1"/>
  <c r="AS135" i="3"/>
  <c r="AS139" i="3" s="1"/>
  <c r="AS58" i="3"/>
  <c r="AD25" i="3"/>
  <c r="AC25" i="3" s="1"/>
  <c r="AY25" i="3" s="1"/>
  <c r="CW8" i="3"/>
  <c r="CR10" i="3"/>
  <c r="AI20" i="3"/>
  <c r="BA134" i="3"/>
  <c r="BJ134" i="3"/>
  <c r="BV9" i="3"/>
  <c r="AA20" i="3"/>
  <c r="AM130" i="3"/>
  <c r="BM20" i="3"/>
  <c r="CA20" i="3"/>
  <c r="DK20" i="3"/>
  <c r="BE135" i="3"/>
  <c r="CR21" i="3"/>
  <c r="CZ135" i="3"/>
  <c r="DH135" i="3"/>
  <c r="DH58" i="3"/>
  <c r="BV25" i="3"/>
  <c r="BU25" i="3" s="1"/>
  <c r="CQ25" i="3" s="1"/>
  <c r="BO26" i="3"/>
  <c r="AZ26" i="3" s="1"/>
  <c r="CP58" i="3"/>
  <c r="AZ31" i="3"/>
  <c r="BO32" i="3"/>
  <c r="AZ32" i="3" s="1"/>
  <c r="Z135" i="3"/>
  <c r="Z139" i="3" s="1"/>
  <c r="Z141" i="3" s="1"/>
  <c r="BS39" i="3"/>
  <c r="BS135" i="3" s="1"/>
  <c r="G39" i="3"/>
  <c r="G135" i="3" s="1"/>
  <c r="AC48" i="3"/>
  <c r="AY48" i="3" s="1"/>
  <c r="CR49" i="3"/>
  <c r="BJ91" i="3"/>
  <c r="AI91" i="3"/>
  <c r="AD64" i="3"/>
  <c r="AC64" i="3" s="1"/>
  <c r="AY64" i="3" s="1"/>
  <c r="AZ69" i="3"/>
  <c r="CW81" i="3"/>
  <c r="CR81" i="3" s="1"/>
  <c r="BV81" i="3"/>
  <c r="BU81" i="3" s="1"/>
  <c r="CQ81" i="3" s="1"/>
  <c r="AZ84" i="3"/>
  <c r="AZ89" i="3"/>
  <c r="CY128" i="3"/>
  <c r="CY132" i="3"/>
  <c r="AQ133" i="3"/>
  <c r="BM120" i="3"/>
  <c r="AZ120" i="3" s="1"/>
  <c r="AD120" i="3"/>
  <c r="AC120" i="3" s="1"/>
  <c r="AY120" i="3" s="1"/>
  <c r="AQ128" i="3"/>
  <c r="BM137" i="3"/>
  <c r="BM91" i="3"/>
  <c r="BE64" i="3"/>
  <c r="AZ64" i="3" s="1"/>
  <c r="AC71" i="3"/>
  <c r="AY71" i="3" s="1"/>
  <c r="BU71" i="3"/>
  <c r="CQ71" i="3" s="1"/>
  <c r="G96" i="3"/>
  <c r="AC96" i="3" s="1"/>
  <c r="AY96" i="3" s="1"/>
  <c r="BT96" i="3"/>
  <c r="AZ96" i="3" s="1"/>
  <c r="DL96" i="3"/>
  <c r="BH132" i="3"/>
  <c r="BH128" i="3"/>
  <c r="CG132" i="3"/>
  <c r="CG128" i="3"/>
  <c r="CG130" i="3" s="1"/>
  <c r="G111" i="3"/>
  <c r="BK111" i="3"/>
  <c r="DC111" i="3"/>
  <c r="AZ113" i="3"/>
  <c r="AD118" i="3"/>
  <c r="AC118" i="3" s="1"/>
  <c r="AY118" i="3" s="1"/>
  <c r="BT118" i="3"/>
  <c r="AZ118" i="3" s="1"/>
  <c r="BC119" i="3"/>
  <c r="AZ119" i="3" s="1"/>
  <c r="AD119" i="3"/>
  <c r="AC119" i="3" s="1"/>
  <c r="AY119" i="3" s="1"/>
  <c r="BC136" i="3"/>
  <c r="BK136" i="3"/>
  <c r="CU136" i="3"/>
  <c r="BK134" i="3"/>
  <c r="DC134" i="3"/>
  <c r="AU130" i="3"/>
  <c r="BK20" i="3"/>
  <c r="CJ20" i="3"/>
  <c r="CJ130" i="3" s="1"/>
  <c r="DI130" i="3"/>
  <c r="CS135" i="3"/>
  <c r="DA135" i="3"/>
  <c r="DJ135" i="3"/>
  <c r="BO27" i="3"/>
  <c r="BR135" i="3"/>
  <c r="BR58" i="3"/>
  <c r="AJ137" i="3"/>
  <c r="AJ139" i="3" s="1"/>
  <c r="AJ141" i="3" s="1"/>
  <c r="AJ91" i="3"/>
  <c r="BF59" i="3"/>
  <c r="BN137" i="3"/>
  <c r="BN91" i="3"/>
  <c r="CP137" i="3"/>
  <c r="CY137" i="3"/>
  <c r="CY91" i="3"/>
  <c r="DG137" i="3"/>
  <c r="DL60" i="3"/>
  <c r="CR60" i="3" s="1"/>
  <c r="AZ63" i="3"/>
  <c r="DL65" i="3"/>
  <c r="CR65" i="3" s="1"/>
  <c r="BT65" i="3"/>
  <c r="AZ65" i="3" s="1"/>
  <c r="G65" i="3"/>
  <c r="AC65" i="3" s="1"/>
  <c r="AY65" i="3" s="1"/>
  <c r="AZ75" i="3"/>
  <c r="AT140" i="3"/>
  <c r="BP93" i="3"/>
  <c r="AD93" i="3"/>
  <c r="AT108" i="3"/>
  <c r="AT130" i="3" s="1"/>
  <c r="BS108" i="3"/>
  <c r="CW108" i="3"/>
  <c r="BP94" i="3"/>
  <c r="AZ94" i="3" s="1"/>
  <c r="BP95" i="3"/>
  <c r="AZ95" i="3" s="1"/>
  <c r="AD95" i="3"/>
  <c r="AC95" i="3" s="1"/>
  <c r="AY95" i="3" s="1"/>
  <c r="CZ108" i="3"/>
  <c r="CP132" i="3"/>
  <c r="CP128" i="3"/>
  <c r="DD128" i="3"/>
  <c r="BN136" i="3"/>
  <c r="CA136" i="3"/>
  <c r="DF136" i="3"/>
  <c r="BF134" i="3"/>
  <c r="BN134" i="3"/>
  <c r="CA134" i="3"/>
  <c r="CX134" i="3"/>
  <c r="DF134" i="3"/>
  <c r="W130" i="3"/>
  <c r="BF20" i="3"/>
  <c r="BN20" i="3"/>
  <c r="BW130" i="3"/>
  <c r="BB135" i="3"/>
  <c r="BB58" i="3"/>
  <c r="BJ135" i="3"/>
  <c r="BJ58" i="3"/>
  <c r="CV135" i="3"/>
  <c r="BV28" i="3"/>
  <c r="BU28" i="3" s="1"/>
  <c r="CQ28" i="3" s="1"/>
  <c r="BV35" i="3"/>
  <c r="BU35" i="3" s="1"/>
  <c r="CQ35" i="3" s="1"/>
  <c r="G38" i="3"/>
  <c r="AD39" i="3"/>
  <c r="BV39" i="3"/>
  <c r="S135" i="3"/>
  <c r="S139" i="3" s="1"/>
  <c r="S141" i="3" s="1"/>
  <c r="S58" i="3"/>
  <c r="S130" i="3" s="1"/>
  <c r="BV48" i="3"/>
  <c r="BU48" i="3" s="1"/>
  <c r="CQ48" i="3" s="1"/>
  <c r="CT137" i="3"/>
  <c r="CT91" i="3"/>
  <c r="DB137" i="3"/>
  <c r="DB91" i="3"/>
  <c r="DK137" i="3"/>
  <c r="AZ77" i="3"/>
  <c r="AD83" i="3"/>
  <c r="AC83" i="3" s="1"/>
  <c r="AY83" i="3" s="1"/>
  <c r="BE83" i="3"/>
  <c r="DJ108" i="3"/>
  <c r="AZ106" i="3"/>
  <c r="AC109" i="3"/>
  <c r="AY109" i="3" s="1"/>
  <c r="BB133" i="3"/>
  <c r="BL133" i="3"/>
  <c r="CA128" i="3"/>
  <c r="BV125" i="3"/>
  <c r="BU125" i="3" s="1"/>
  <c r="CQ125" i="3" s="1"/>
  <c r="CW125" i="3"/>
  <c r="CR125" i="3" s="1"/>
  <c r="BK135" i="3"/>
  <c r="CW135" i="3"/>
  <c r="DE135" i="3"/>
  <c r="BB137" i="3"/>
  <c r="BJ137" i="3"/>
  <c r="CU137" i="3"/>
  <c r="DC137" i="3"/>
  <c r="DC91" i="3"/>
  <c r="CI137" i="3"/>
  <c r="CI91" i="3"/>
  <c r="BU64" i="3"/>
  <c r="CQ64" i="3" s="1"/>
  <c r="BU75" i="3"/>
  <c r="CQ75" i="3" s="1"/>
  <c r="AC75" i="3"/>
  <c r="AY75" i="3" s="1"/>
  <c r="CR75" i="3"/>
  <c r="CW78" i="3"/>
  <c r="CR78" i="3" s="1"/>
  <c r="BV78" i="3"/>
  <c r="BU78" i="3" s="1"/>
  <c r="CQ78" i="3" s="1"/>
  <c r="AZ85" i="3"/>
  <c r="BD140" i="3"/>
  <c r="BL140" i="3"/>
  <c r="BL108" i="3"/>
  <c r="CR97" i="3"/>
  <c r="AZ105" i="3"/>
  <c r="DJ140" i="3"/>
  <c r="BG136" i="3"/>
  <c r="BO136" i="3"/>
  <c r="CY136" i="3"/>
  <c r="DG136" i="3"/>
  <c r="BG134" i="3"/>
  <c r="BO134" i="3"/>
  <c r="CY134" i="3"/>
  <c r="DG134" i="3"/>
  <c r="BG20" i="3"/>
  <c r="CF130" i="3"/>
  <c r="BH136" i="3"/>
  <c r="BP135" i="3"/>
  <c r="CZ136" i="3"/>
  <c r="DH136" i="3"/>
  <c r="AI136" i="3"/>
  <c r="BE5" i="3"/>
  <c r="AZ5" i="3" s="1"/>
  <c r="BH134" i="3"/>
  <c r="BQ134" i="3"/>
  <c r="BQ139" i="3" s="1"/>
  <c r="BQ141" i="3" s="1"/>
  <c r="BP134" i="3"/>
  <c r="DH134" i="3"/>
  <c r="BT9" i="3"/>
  <c r="I130" i="3"/>
  <c r="BH20" i="3"/>
  <c r="BP20" i="3"/>
  <c r="DF20" i="3"/>
  <c r="BD135" i="3"/>
  <c r="BY135" i="3"/>
  <c r="CX135" i="3"/>
  <c r="CX58" i="3"/>
  <c r="DF135" i="3"/>
  <c r="DF58" i="3"/>
  <c r="AX135" i="3"/>
  <c r="CI135" i="3"/>
  <c r="CO135" i="3"/>
  <c r="CO139" i="3" s="1"/>
  <c r="CO141" i="3" s="1"/>
  <c r="CU52" i="3"/>
  <c r="CR52" i="3" s="1"/>
  <c r="BV52" i="3"/>
  <c r="BF56" i="3"/>
  <c r="BF135" i="3" s="1"/>
  <c r="CR56" i="3"/>
  <c r="M58" i="3"/>
  <c r="AX58" i="3"/>
  <c r="AA137" i="3"/>
  <c r="G59" i="3"/>
  <c r="BU59" i="3" s="1"/>
  <c r="CQ59" i="3" s="1"/>
  <c r="AA91" i="3"/>
  <c r="BC137" i="3"/>
  <c r="BC91" i="3"/>
  <c r="BK137" i="3"/>
  <c r="CV137" i="3"/>
  <c r="CV91" i="3"/>
  <c r="DH91" i="3"/>
  <c r="AZ61" i="3"/>
  <c r="BS91" i="3"/>
  <c r="AZ70" i="3"/>
  <c r="AZ72" i="3"/>
  <c r="CS140" i="3"/>
  <c r="DA108" i="3"/>
  <c r="CR104" i="3"/>
  <c r="Q132" i="3"/>
  <c r="Q139" i="3" s="1"/>
  <c r="Q141" i="3" s="1"/>
  <c r="G110" i="3"/>
  <c r="AC110" i="3" s="1"/>
  <c r="AY110" i="3" s="1"/>
  <c r="DB110" i="3"/>
  <c r="DB132" i="3" s="1"/>
  <c r="BJ110" i="3"/>
  <c r="BJ132" i="3" s="1"/>
  <c r="Q128" i="3"/>
  <c r="Q130" i="3" s="1"/>
  <c r="G112" i="3"/>
  <c r="R133" i="3"/>
  <c r="DC112" i="3"/>
  <c r="DC133" i="3" s="1"/>
  <c r="BK112" i="3"/>
  <c r="BK133" i="3" s="1"/>
  <c r="I139" i="3"/>
  <c r="I141" i="3" s="1"/>
  <c r="CX140" i="3"/>
  <c r="CX108" i="3"/>
  <c r="DF140" i="3"/>
  <c r="DE108" i="3"/>
  <c r="CR98" i="3"/>
  <c r="DH103" i="3"/>
  <c r="CR103" i="3" s="1"/>
  <c r="BV103" i="3"/>
  <c r="BU103" i="3" s="1"/>
  <c r="CQ103" i="3" s="1"/>
  <c r="BV106" i="3"/>
  <c r="BU106" i="3" s="1"/>
  <c r="CQ106" i="3" s="1"/>
  <c r="DH106" i="3"/>
  <c r="CR106" i="3" s="1"/>
  <c r="R132" i="3"/>
  <c r="R128" i="3"/>
  <c r="R130" i="3" s="1"/>
  <c r="BK109" i="3"/>
  <c r="BP132" i="3"/>
  <c r="BP128" i="3"/>
  <c r="BP137" i="3"/>
  <c r="BZ132" i="3"/>
  <c r="BZ139" i="3" s="1"/>
  <c r="BZ141" i="3" s="1"/>
  <c r="BZ128" i="3"/>
  <c r="BZ130" i="3" s="1"/>
  <c r="CV110" i="3"/>
  <c r="BV110" i="3"/>
  <c r="BD133" i="3"/>
  <c r="AZ138" i="3"/>
  <c r="DF137" i="3"/>
  <c r="AQ137" i="3"/>
  <c r="AQ91" i="3"/>
  <c r="CR62" i="3"/>
  <c r="DJ91" i="3"/>
  <c r="CR67" i="3"/>
  <c r="CR84" i="3"/>
  <c r="BM140" i="3"/>
  <c r="BM108" i="3"/>
  <c r="AD98" i="3"/>
  <c r="AC98" i="3" s="1"/>
  <c r="AY98" i="3" s="1"/>
  <c r="BP98" i="3"/>
  <c r="AZ98" i="3" s="1"/>
  <c r="BU109" i="3"/>
  <c r="CQ109" i="3" s="1"/>
  <c r="BP133" i="3"/>
  <c r="AZ123" i="3"/>
  <c r="BE127" i="3"/>
  <c r="AD127" i="3"/>
  <c r="AN139" i="3"/>
  <c r="AN141" i="3" s="1"/>
  <c r="CR69" i="3"/>
  <c r="BF140" i="3"/>
  <c r="BF108" i="3"/>
  <c r="BN140" i="3"/>
  <c r="CT108" i="3"/>
  <c r="CR94" i="3"/>
  <c r="CR95" i="3"/>
  <c r="CR99" i="3"/>
  <c r="BN108" i="3"/>
  <c r="AX132" i="3"/>
  <c r="AX128" i="3"/>
  <c r="BT110" i="3"/>
  <c r="BT132" i="3" s="1"/>
  <c r="BG133" i="3"/>
  <c r="DL115" i="3"/>
  <c r="CR115" i="3" s="1"/>
  <c r="G115" i="3"/>
  <c r="AC115" i="3" s="1"/>
  <c r="AY115" i="3" s="1"/>
  <c r="CR117" i="3"/>
  <c r="J135" i="3"/>
  <c r="CU50" i="3"/>
  <c r="BH137" i="3"/>
  <c r="BH91" i="3"/>
  <c r="BP136" i="3"/>
  <c r="BP91" i="3"/>
  <c r="CZ137" i="3"/>
  <c r="DH137" i="3"/>
  <c r="AZ60" i="3"/>
  <c r="AZ62" i="3"/>
  <c r="BR137" i="3"/>
  <c r="CH137" i="3"/>
  <c r="DD64" i="3"/>
  <c r="DD137" i="3" s="1"/>
  <c r="DL73" i="3"/>
  <c r="CR73" i="3" s="1"/>
  <c r="BT73" i="3"/>
  <c r="AZ73" i="3" s="1"/>
  <c r="G73" i="3"/>
  <c r="CR80" i="3"/>
  <c r="CR89" i="3"/>
  <c r="CU140" i="3"/>
  <c r="DC140" i="3"/>
  <c r="DC108" i="3"/>
  <c r="AF140" i="3"/>
  <c r="AF108" i="3"/>
  <c r="AF130" i="3" s="1"/>
  <c r="BB104" i="3"/>
  <c r="BB108" i="3" s="1"/>
  <c r="AD104" i="3"/>
  <c r="AC104" i="3" s="1"/>
  <c r="AY104" i="3" s="1"/>
  <c r="V140" i="3"/>
  <c r="DG107" i="3"/>
  <c r="DG140" i="3" s="1"/>
  <c r="V108" i="3"/>
  <c r="BO107" i="3"/>
  <c r="AZ107" i="3" s="1"/>
  <c r="BM132" i="3"/>
  <c r="CS132" i="3"/>
  <c r="CS128" i="3"/>
  <c r="DC109" i="3"/>
  <c r="AZ124" i="3"/>
  <c r="BA137" i="3"/>
  <c r="BI137" i="3"/>
  <c r="BS137" i="3"/>
  <c r="CS137" i="3"/>
  <c r="DA137" i="3"/>
  <c r="DJ137" i="3"/>
  <c r="AI137" i="3"/>
  <c r="G82" i="3"/>
  <c r="AC82" i="3" s="1"/>
  <c r="AY82" i="3" s="1"/>
  <c r="DE82" i="3"/>
  <c r="DE91" i="3" s="1"/>
  <c r="AD86" i="3"/>
  <c r="AC86" i="3" s="1"/>
  <c r="AY86" i="3" s="1"/>
  <c r="AD87" i="3"/>
  <c r="AC87" i="3" s="1"/>
  <c r="AY87" i="3" s="1"/>
  <c r="BV89" i="3"/>
  <c r="BU89" i="3" s="1"/>
  <c r="CQ89" i="3" s="1"/>
  <c r="G90" i="3"/>
  <c r="M91" i="3"/>
  <c r="CB91" i="3"/>
  <c r="CS91" i="3"/>
  <c r="DA91" i="3"/>
  <c r="DA140" i="3"/>
  <c r="DK140" i="3"/>
  <c r="CP140" i="3"/>
  <c r="G102" i="3"/>
  <c r="BU102" i="3" s="1"/>
  <c r="CQ102" i="3" s="1"/>
  <c r="BT102" i="3"/>
  <c r="AZ102" i="3" s="1"/>
  <c r="AD106" i="3"/>
  <c r="AC106" i="3" s="1"/>
  <c r="AY106" i="3" s="1"/>
  <c r="BV107" i="3"/>
  <c r="CS108" i="3"/>
  <c r="BC109" i="3"/>
  <c r="BS132" i="3"/>
  <c r="CW132" i="3"/>
  <c r="DF132" i="3"/>
  <c r="DL110" i="3"/>
  <c r="BE133" i="3"/>
  <c r="BN133" i="3"/>
  <c r="DA133" i="3"/>
  <c r="DK133" i="3"/>
  <c r="BU119" i="3"/>
  <c r="CQ119" i="3" s="1"/>
  <c r="CJ138" i="3"/>
  <c r="BV138" i="3" s="1"/>
  <c r="BU138" i="3" s="1"/>
  <c r="CQ138" i="3" s="1"/>
  <c r="BV121" i="3"/>
  <c r="BU121" i="3" s="1"/>
  <c r="CQ121" i="3" s="1"/>
  <c r="DL127" i="3"/>
  <c r="DL134" i="3" s="1"/>
  <c r="BT127" i="3"/>
  <c r="G127" i="3"/>
  <c r="BU127" i="3" s="1"/>
  <c r="CQ127" i="3" s="1"/>
  <c r="BW139" i="3"/>
  <c r="BW141" i="3" s="1"/>
  <c r="CN139" i="3"/>
  <c r="CN141" i="3" s="1"/>
  <c r="CT140" i="3"/>
  <c r="BT90" i="3"/>
  <c r="AZ90" i="3" s="1"/>
  <c r="BH140" i="3"/>
  <c r="DB140" i="3"/>
  <c r="DL140" i="3"/>
  <c r="AX140" i="3"/>
  <c r="K128" i="3"/>
  <c r="K130" i="3" s="1"/>
  <c r="K132" i="3"/>
  <c r="K139" i="3" s="1"/>
  <c r="K141" i="3" s="1"/>
  <c r="CV109" i="3"/>
  <c r="AG132" i="3"/>
  <c r="AG128" i="3"/>
  <c r="BI132" i="3"/>
  <c r="CX132" i="3"/>
  <c r="DG128" i="3"/>
  <c r="DG132" i="3"/>
  <c r="CV111" i="3"/>
  <c r="BV111" i="3"/>
  <c r="BU111" i="3" s="1"/>
  <c r="CQ111" i="3" s="1"/>
  <c r="AG133" i="3"/>
  <c r="BC112" i="3"/>
  <c r="AD112" i="3"/>
  <c r="AC112" i="3" s="1"/>
  <c r="AY112" i="3" s="1"/>
  <c r="BF133" i="3"/>
  <c r="CS133" i="3"/>
  <c r="DB133" i="3"/>
  <c r="CN128" i="3"/>
  <c r="CN130" i="3" s="1"/>
  <c r="AE139" i="3"/>
  <c r="AE141" i="3" s="1"/>
  <c r="BJ140" i="3"/>
  <c r="CV140" i="3"/>
  <c r="CV108" i="3"/>
  <c r="DD140" i="3"/>
  <c r="DD108" i="3"/>
  <c r="BX140" i="3"/>
  <c r="BV104" i="3"/>
  <c r="BU104" i="3" s="1"/>
  <c r="CQ104" i="3" s="1"/>
  <c r="DH105" i="3"/>
  <c r="CR105" i="3" s="1"/>
  <c r="AX108" i="3"/>
  <c r="BJ108" i="3"/>
  <c r="O132" i="3"/>
  <c r="O139" i="3" s="1"/>
  <c r="O141" i="3" s="1"/>
  <c r="O128" i="3"/>
  <c r="O130" i="3" s="1"/>
  <c r="CZ109" i="3"/>
  <c r="BA132" i="3"/>
  <c r="BL132" i="3"/>
  <c r="BL128" i="3"/>
  <c r="BY128" i="3"/>
  <c r="DA132" i="3"/>
  <c r="DA128" i="3"/>
  <c r="DJ132" i="3"/>
  <c r="AH132" i="3"/>
  <c r="AH139" i="3" s="1"/>
  <c r="AH141" i="3" s="1"/>
  <c r="AH128" i="3"/>
  <c r="AH130" i="3" s="1"/>
  <c r="BD110" i="3"/>
  <c r="AX133" i="3"/>
  <c r="BH133" i="3"/>
  <c r="BS133" i="3"/>
  <c r="CV133" i="3"/>
  <c r="DJ121" i="3"/>
  <c r="DJ138" i="3" s="1"/>
  <c r="CR122" i="3"/>
  <c r="BS128" i="3"/>
  <c r="U139" i="3"/>
  <c r="U141" i="3" s="1"/>
  <c r="BK140" i="3"/>
  <c r="CW140" i="3"/>
  <c r="DE140" i="3"/>
  <c r="BE104" i="3"/>
  <c r="BE140" i="3" s="1"/>
  <c r="AI108" i="3"/>
  <c r="BK108" i="3"/>
  <c r="BB128" i="3"/>
  <c r="DB128" i="3"/>
  <c r="DK132" i="3"/>
  <c r="DK128" i="3"/>
  <c r="BD111" i="3"/>
  <c r="AZ111" i="3" s="1"/>
  <c r="AD111" i="3"/>
  <c r="BI133" i="3"/>
  <c r="CW133" i="3"/>
  <c r="AZ114" i="3"/>
  <c r="AZ117" i="3"/>
  <c r="BU123" i="3"/>
  <c r="CQ123" i="3" s="1"/>
  <c r="AR128" i="3"/>
  <c r="BG140" i="3"/>
  <c r="CZ140" i="3"/>
  <c r="AA128" i="3"/>
  <c r="DD132" i="3"/>
  <c r="AO132" i="3"/>
  <c r="AO139" i="3" s="1"/>
  <c r="AO141" i="3" s="1"/>
  <c r="BR133" i="3"/>
  <c r="BR128" i="3"/>
  <c r="BO132" i="3"/>
  <c r="CX133" i="3"/>
  <c r="DF133" i="3"/>
  <c r="CR127" i="3"/>
  <c r="AT139" i="3"/>
  <c r="CE139" i="3"/>
  <c r="CE141" i="3" s="1"/>
  <c r="N139" i="3"/>
  <c r="N141" i="3" s="1"/>
  <c r="BG109" i="3"/>
  <c r="DH132" i="3"/>
  <c r="BV120" i="3"/>
  <c r="BU120" i="3" s="1"/>
  <c r="CQ120" i="3" s="1"/>
  <c r="DE120" i="3"/>
  <c r="DE133" i="3" s="1"/>
  <c r="N128" i="3"/>
  <c r="N130" i="3" s="1"/>
  <c r="V128" i="3"/>
  <c r="AA132" i="3"/>
  <c r="AL139" i="3"/>
  <c r="AL141" i="3" s="1"/>
  <c r="CI128" i="3"/>
  <c r="AM139" i="3"/>
  <c r="AM141" i="3" s="1"/>
  <c r="BX139" i="3"/>
  <c r="M139" i="3"/>
  <c r="M141" i="3" s="1"/>
  <c r="AC8" i="3" l="1"/>
  <c r="AY8" i="3" s="1"/>
  <c r="BV38" i="3"/>
  <c r="BD128" i="3"/>
  <c r="AJ130" i="3"/>
  <c r="CX91" i="3"/>
  <c r="DF138" i="3"/>
  <c r="AS130" i="3"/>
  <c r="AG130" i="3"/>
  <c r="AZ127" i="3"/>
  <c r="CG139" i="3"/>
  <c r="CG141" i="3" s="1"/>
  <c r="DG58" i="3"/>
  <c r="CR59" i="3"/>
  <c r="CR102" i="3"/>
  <c r="DD58" i="3"/>
  <c r="CU128" i="3"/>
  <c r="BC140" i="3"/>
  <c r="DD91" i="3"/>
  <c r="BU107" i="3"/>
  <c r="CQ107" i="3" s="1"/>
  <c r="BE128" i="3"/>
  <c r="AC88" i="3"/>
  <c r="AY88" i="3" s="1"/>
  <c r="BO128" i="3"/>
  <c r="BU9" i="3"/>
  <c r="CQ9" i="3" s="1"/>
  <c r="CR9" i="3"/>
  <c r="BV133" i="3"/>
  <c r="DL108" i="3"/>
  <c r="AC107" i="3"/>
  <c r="AY107" i="3" s="1"/>
  <c r="AZ59" i="3"/>
  <c r="BO140" i="3"/>
  <c r="BM128" i="3"/>
  <c r="CR114" i="3"/>
  <c r="BU52" i="3"/>
  <c r="CQ52" i="3" s="1"/>
  <c r="AZ9" i="3"/>
  <c r="BE137" i="3"/>
  <c r="CW134" i="3"/>
  <c r="BC134" i="3"/>
  <c r="BU56" i="3"/>
  <c r="CQ56" i="3" s="1"/>
  <c r="AP130" i="3"/>
  <c r="AZ13" i="3"/>
  <c r="BU54" i="3"/>
  <c r="CQ54" i="3" s="1"/>
  <c r="BT135" i="3"/>
  <c r="BX141" i="3"/>
  <c r="CI139" i="3"/>
  <c r="CI141" i="3" s="1"/>
  <c r="DE128" i="3"/>
  <c r="DE130" i="3" s="1"/>
  <c r="BM133" i="3"/>
  <c r="BM139" i="3" s="1"/>
  <c r="BM141" i="3" s="1"/>
  <c r="BJ128" i="3"/>
  <c r="CR120" i="3"/>
  <c r="CR110" i="3"/>
  <c r="BU115" i="3"/>
  <c r="CQ115" i="3" s="1"/>
  <c r="DJ128" i="3"/>
  <c r="DJ130" i="3" s="1"/>
  <c r="CR111" i="3"/>
  <c r="DL132" i="3"/>
  <c r="CI130" i="3"/>
  <c r="AZ110" i="3"/>
  <c r="V130" i="3"/>
  <c r="BU96" i="3"/>
  <c r="CQ96" i="3" s="1"/>
  <c r="BT108" i="3"/>
  <c r="BT140" i="3"/>
  <c r="BB140" i="3"/>
  <c r="BV135" i="3"/>
  <c r="BU135" i="3" s="1"/>
  <c r="CQ135" i="3" s="1"/>
  <c r="AC102" i="3"/>
  <c r="AY102" i="3" s="1"/>
  <c r="BJ130" i="3"/>
  <c r="AP139" i="3"/>
  <c r="AP141" i="3" s="1"/>
  <c r="CT130" i="3"/>
  <c r="CH139" i="3"/>
  <c r="CH141" i="3" s="1"/>
  <c r="G108" i="3"/>
  <c r="CY130" i="3"/>
  <c r="BO108" i="3"/>
  <c r="CL141" i="3"/>
  <c r="CJ139" i="3"/>
  <c r="CJ141" i="3" s="1"/>
  <c r="CS130" i="3"/>
  <c r="DE137" i="3"/>
  <c r="BR130" i="3"/>
  <c r="CW91" i="3"/>
  <c r="BV136" i="3"/>
  <c r="DL137" i="3"/>
  <c r="DH139" i="3"/>
  <c r="M130" i="3"/>
  <c r="DK130" i="3"/>
  <c r="AI130" i="3"/>
  <c r="AZ41" i="3"/>
  <c r="DL58" i="3"/>
  <c r="BR139" i="3"/>
  <c r="BR141" i="3" s="1"/>
  <c r="CR50" i="3"/>
  <c r="CR58" i="3" s="1"/>
  <c r="R139" i="3"/>
  <c r="R141" i="3" s="1"/>
  <c r="BO135" i="3"/>
  <c r="BO139" i="3" s="1"/>
  <c r="BS58" i="3"/>
  <c r="AA139" i="3"/>
  <c r="AA141" i="3" s="1"/>
  <c r="BI139" i="3"/>
  <c r="BI141" i="3" s="1"/>
  <c r="BV134" i="3"/>
  <c r="AZ39" i="3"/>
  <c r="AF141" i="3"/>
  <c r="AD136" i="3"/>
  <c r="G58" i="3"/>
  <c r="AI139" i="3"/>
  <c r="AI141" i="3" s="1"/>
  <c r="BB139" i="3"/>
  <c r="AQ139" i="3"/>
  <c r="AQ141" i="3" s="1"/>
  <c r="CR13" i="3"/>
  <c r="BJ139" i="3"/>
  <c r="BJ141" i="3" s="1"/>
  <c r="L139" i="3"/>
  <c r="L141" i="3" s="1"/>
  <c r="BD130" i="3"/>
  <c r="BY139" i="3"/>
  <c r="BY141" i="3" s="1"/>
  <c r="CR138" i="3"/>
  <c r="BU8" i="3"/>
  <c r="CQ8" i="3" s="1"/>
  <c r="CA139" i="3"/>
  <c r="CA141" i="3" s="1"/>
  <c r="BT134" i="3"/>
  <c r="AS141" i="3"/>
  <c r="CW136" i="3"/>
  <c r="DE136" i="3"/>
  <c r="V141" i="3"/>
  <c r="CR8" i="3"/>
  <c r="DJ139" i="3"/>
  <c r="DJ141" i="3" s="1"/>
  <c r="J139" i="3"/>
  <c r="J141" i="3" s="1"/>
  <c r="BG132" i="3"/>
  <c r="BG139" i="3" s="1"/>
  <c r="BG141" i="3" s="1"/>
  <c r="BG128" i="3"/>
  <c r="BC133" i="3"/>
  <c r="BC128" i="3"/>
  <c r="BC132" i="3"/>
  <c r="AZ109" i="3"/>
  <c r="AD140" i="3"/>
  <c r="AC127" i="3"/>
  <c r="AY127" i="3" s="1"/>
  <c r="DF130" i="3"/>
  <c r="DD135" i="3"/>
  <c r="DD139" i="3" s="1"/>
  <c r="DD141" i="3" s="1"/>
  <c r="BN130" i="3"/>
  <c r="CR96" i="3"/>
  <c r="CW20" i="3"/>
  <c r="AD91" i="3"/>
  <c r="AC59" i="3"/>
  <c r="AY59" i="3" s="1"/>
  <c r="CR107" i="3"/>
  <c r="CU135" i="3"/>
  <c r="BU16" i="3"/>
  <c r="CQ16" i="3" s="1"/>
  <c r="BU5" i="3"/>
  <c r="CQ5" i="3" s="1"/>
  <c r="BV20" i="3"/>
  <c r="BU93" i="3"/>
  <c r="CQ93" i="3" s="1"/>
  <c r="BV108" i="3"/>
  <c r="BB130" i="3"/>
  <c r="BY130" i="3"/>
  <c r="DG108" i="3"/>
  <c r="AZ30" i="3"/>
  <c r="BV137" i="3"/>
  <c r="DK139" i="3"/>
  <c r="DK141" i="3" s="1"/>
  <c r="DA139" i="3"/>
  <c r="DA141" i="3" s="1"/>
  <c r="AD133" i="3"/>
  <c r="AG139" i="3"/>
  <c r="AG141" i="3" s="1"/>
  <c r="AD132" i="3"/>
  <c r="BU73" i="3"/>
  <c r="CQ73" i="3" s="1"/>
  <c r="AC73" i="3"/>
  <c r="AY73" i="3" s="1"/>
  <c r="CR121" i="3"/>
  <c r="CX20" i="3"/>
  <c r="CX130" i="3" s="1"/>
  <c r="DL91" i="3"/>
  <c r="BU68" i="3"/>
  <c r="CQ68" i="3" s="1"/>
  <c r="BT20" i="3"/>
  <c r="BV91" i="3"/>
  <c r="CA130" i="3"/>
  <c r="AZ8" i="3"/>
  <c r="AX130" i="3"/>
  <c r="L130" i="3"/>
  <c r="BT137" i="3"/>
  <c r="BT91" i="3"/>
  <c r="BU26" i="3"/>
  <c r="CQ26" i="3" s="1"/>
  <c r="AC26" i="3"/>
  <c r="AY26" i="3" s="1"/>
  <c r="AQ130" i="3"/>
  <c r="BE134" i="3"/>
  <c r="CP130" i="3"/>
  <c r="BU38" i="3"/>
  <c r="CQ38" i="3" s="1"/>
  <c r="AZ27" i="3"/>
  <c r="BV58" i="3"/>
  <c r="CV132" i="3"/>
  <c r="CV139" i="3" s="1"/>
  <c r="CV141" i="3" s="1"/>
  <c r="CV128" i="3"/>
  <c r="CV130" i="3" s="1"/>
  <c r="AX139" i="3"/>
  <c r="AX141" i="3" s="1"/>
  <c r="BU39" i="3"/>
  <c r="CQ39" i="3" s="1"/>
  <c r="AZ7" i="3"/>
  <c r="AC39" i="3"/>
  <c r="AY39" i="3" s="1"/>
  <c r="BC20" i="3"/>
  <c r="CY139" i="3"/>
  <c r="CY141" i="3" s="1"/>
  <c r="AZ83" i="3"/>
  <c r="AZ56" i="3"/>
  <c r="BT58" i="3"/>
  <c r="BO58" i="3"/>
  <c r="BL139" i="3"/>
  <c r="BL141" i="3" s="1"/>
  <c r="DC132" i="3"/>
  <c r="DC139" i="3" s="1"/>
  <c r="DC141" i="3" s="1"/>
  <c r="DC128" i="3"/>
  <c r="DC130" i="3" s="1"/>
  <c r="BH130" i="3"/>
  <c r="BG130" i="3"/>
  <c r="G128" i="3"/>
  <c r="CP139" i="3"/>
  <c r="CP141" i="3" s="1"/>
  <c r="BD132" i="3"/>
  <c r="BD139" i="3" s="1"/>
  <c r="BD141" i="3" s="1"/>
  <c r="BE91" i="3"/>
  <c r="BM58" i="3"/>
  <c r="BM130" i="3" s="1"/>
  <c r="AA130" i="3"/>
  <c r="G20" i="3"/>
  <c r="AC38" i="3"/>
  <c r="AY38" i="3" s="1"/>
  <c r="DL20" i="3"/>
  <c r="BF58" i="3"/>
  <c r="AC54" i="3"/>
  <c r="AY54" i="3" s="1"/>
  <c r="CR15" i="3"/>
  <c r="BU112" i="3"/>
  <c r="CQ112" i="3" s="1"/>
  <c r="AD58" i="3"/>
  <c r="AZ37" i="3"/>
  <c r="DL135" i="3"/>
  <c r="G134" i="3"/>
  <c r="BS130" i="3"/>
  <c r="CW137" i="3"/>
  <c r="AD137" i="3"/>
  <c r="DL128" i="3"/>
  <c r="BV132" i="3"/>
  <c r="DB139" i="3"/>
  <c r="DB141" i="3" s="1"/>
  <c r="BP139" i="3"/>
  <c r="G137" i="3"/>
  <c r="G91" i="3"/>
  <c r="BU82" i="3"/>
  <c r="CQ82" i="3" s="1"/>
  <c r="AD20" i="3"/>
  <c r="AT141" i="3"/>
  <c r="G140" i="3"/>
  <c r="BA139" i="3"/>
  <c r="BA141" i="3" s="1"/>
  <c r="BV140" i="3"/>
  <c r="DF139" i="3"/>
  <c r="DF141" i="3" s="1"/>
  <c r="CR109" i="3"/>
  <c r="CR82" i="3"/>
  <c r="BE108" i="3"/>
  <c r="BU110" i="3"/>
  <c r="CQ110" i="3" s="1"/>
  <c r="BV128" i="3"/>
  <c r="BK132" i="3"/>
  <c r="BK139" i="3" s="1"/>
  <c r="BK141" i="3" s="1"/>
  <c r="BK128" i="3"/>
  <c r="BK130" i="3" s="1"/>
  <c r="BL58" i="3"/>
  <c r="BL130" i="3" s="1"/>
  <c r="BE20" i="3"/>
  <c r="G132" i="3"/>
  <c r="AD108" i="3"/>
  <c r="AC108" i="3" s="1"/>
  <c r="AY108" i="3" s="1"/>
  <c r="AC93" i="3"/>
  <c r="AY93" i="3" s="1"/>
  <c r="BF137" i="3"/>
  <c r="BF91" i="3"/>
  <c r="BT128" i="3"/>
  <c r="G136" i="3"/>
  <c r="AR130" i="3"/>
  <c r="BE136" i="3"/>
  <c r="AZ136" i="3" s="1"/>
  <c r="CU133" i="3"/>
  <c r="CT139" i="3"/>
  <c r="CT141" i="3" s="1"/>
  <c r="DA130" i="3"/>
  <c r="BC135" i="3"/>
  <c r="BC58" i="3"/>
  <c r="AZ21" i="3"/>
  <c r="BT133" i="3"/>
  <c r="BS139" i="3"/>
  <c r="BS141" i="3" s="1"/>
  <c r="CS139" i="3"/>
  <c r="CS141" i="3" s="1"/>
  <c r="CU58" i="3"/>
  <c r="DH140" i="3"/>
  <c r="DH108" i="3"/>
  <c r="DH130" i="3" s="1"/>
  <c r="CU134" i="3"/>
  <c r="CU20" i="3"/>
  <c r="AC111" i="3"/>
  <c r="AY111" i="3" s="1"/>
  <c r="AD128" i="3"/>
  <c r="CZ128" i="3"/>
  <c r="CZ130" i="3" s="1"/>
  <c r="CZ132" i="3"/>
  <c r="CZ139" i="3" s="1"/>
  <c r="CZ141" i="3" s="1"/>
  <c r="CX139" i="3"/>
  <c r="CX141" i="3" s="1"/>
  <c r="AC90" i="3"/>
  <c r="AY90" i="3" s="1"/>
  <c r="BU90" i="3"/>
  <c r="CQ90" i="3" s="1"/>
  <c r="AZ104" i="3"/>
  <c r="G133" i="3"/>
  <c r="BP140" i="3"/>
  <c r="BP108" i="3"/>
  <c r="BP130" i="3" s="1"/>
  <c r="BH139" i="3"/>
  <c r="BH141" i="3" s="1"/>
  <c r="CB130" i="3"/>
  <c r="DG135" i="3"/>
  <c r="DG139" i="3" s="1"/>
  <c r="DG141" i="3" s="1"/>
  <c r="AZ112" i="3"/>
  <c r="BN139" i="3"/>
  <c r="BN141" i="3" s="1"/>
  <c r="AC50" i="3"/>
  <c r="AY50" i="3" s="1"/>
  <c r="BU50" i="3"/>
  <c r="CQ50" i="3" s="1"/>
  <c r="DD130" i="3"/>
  <c r="BU65" i="3"/>
  <c r="CQ65" i="3" s="1"/>
  <c r="AD135" i="3"/>
  <c r="AC135" i="3" s="1"/>
  <c r="AY135" i="3" s="1"/>
  <c r="AC7" i="3"/>
  <c r="AY7" i="3" s="1"/>
  <c r="CW128" i="3"/>
  <c r="DB130" i="3"/>
  <c r="DL133" i="3"/>
  <c r="AZ93" i="3"/>
  <c r="BU63" i="3"/>
  <c r="CQ63" i="3" s="1"/>
  <c r="BU57" i="3"/>
  <c r="CQ57" i="3" s="1"/>
  <c r="BU133" i="3" l="1"/>
  <c r="CQ133" i="3" s="1"/>
  <c r="CR91" i="3"/>
  <c r="DG130" i="3"/>
  <c r="AZ91" i="3"/>
  <c r="BO141" i="3"/>
  <c r="DL130" i="3"/>
  <c r="CR108" i="3"/>
  <c r="CR134" i="3"/>
  <c r="BU58" i="3"/>
  <c r="CQ58" i="3" s="1"/>
  <c r="BU108" i="3"/>
  <c r="CQ108" i="3" s="1"/>
  <c r="AC58" i="3"/>
  <c r="AY58" i="3" s="1"/>
  <c r="BC130" i="3"/>
  <c r="CU130" i="3"/>
  <c r="BO130" i="3"/>
  <c r="BF130" i="3"/>
  <c r="DE139" i="3"/>
  <c r="DE141" i="3" s="1"/>
  <c r="AZ108" i="3"/>
  <c r="AZ140" i="3"/>
  <c r="BU136" i="3"/>
  <c r="CQ136" i="3" s="1"/>
  <c r="BB141" i="3"/>
  <c r="BU134" i="3"/>
  <c r="CQ134" i="3" s="1"/>
  <c r="AZ135" i="3"/>
  <c r="CR136" i="3"/>
  <c r="AC136" i="3"/>
  <c r="AY136" i="3" s="1"/>
  <c r="AZ137" i="3"/>
  <c r="BT130" i="3"/>
  <c r="DH141" i="3"/>
  <c r="AZ134" i="3"/>
  <c r="AZ133" i="3"/>
  <c r="AZ58" i="3"/>
  <c r="CR133" i="3"/>
  <c r="CU139" i="3"/>
  <c r="CU141" i="3" s="1"/>
  <c r="AC137" i="3"/>
  <c r="AY137" i="3" s="1"/>
  <c r="CW139" i="3"/>
  <c r="CW141" i="3" s="1"/>
  <c r="CR20" i="3"/>
  <c r="AZ20" i="3"/>
  <c r="BT139" i="3"/>
  <c r="BT141" i="3" s="1"/>
  <c r="BE139" i="3"/>
  <c r="BE141" i="3" s="1"/>
  <c r="G130" i="3"/>
  <c r="DL139" i="3"/>
  <c r="DL141" i="3" s="1"/>
  <c r="BV130" i="3"/>
  <c r="BU20" i="3"/>
  <c r="CQ20" i="3" s="1"/>
  <c r="CW130" i="3"/>
  <c r="CR137" i="3"/>
  <c r="BE130" i="3"/>
  <c r="CR128" i="3"/>
  <c r="AC20" i="3"/>
  <c r="AY20" i="3" s="1"/>
  <c r="AD130" i="3"/>
  <c r="BU91" i="3"/>
  <c r="CQ91" i="3" s="1"/>
  <c r="BU137" i="3"/>
  <c r="CQ137" i="3" s="1"/>
  <c r="AZ128" i="3"/>
  <c r="BV139" i="3"/>
  <c r="BU132" i="3"/>
  <c r="CQ132" i="3" s="1"/>
  <c r="AC91" i="3"/>
  <c r="AY91" i="3" s="1"/>
  <c r="AC140" i="3"/>
  <c r="AY140" i="3" s="1"/>
  <c r="AC128" i="3"/>
  <c r="AY128" i="3" s="1"/>
  <c r="G139" i="3"/>
  <c r="G141" i="3" s="1"/>
  <c r="BF139" i="3"/>
  <c r="BF141" i="3" s="1"/>
  <c r="BC139" i="3"/>
  <c r="BC141" i="3" s="1"/>
  <c r="CR135" i="3"/>
  <c r="CR140" i="3"/>
  <c r="AC134" i="3"/>
  <c r="AY134" i="3" s="1"/>
  <c r="AD139" i="3"/>
  <c r="AC132" i="3"/>
  <c r="AY132" i="3" s="1"/>
  <c r="CR132" i="3"/>
  <c r="BU140" i="3"/>
  <c r="CQ140" i="3" s="1"/>
  <c r="BU128" i="3"/>
  <c r="CQ128" i="3" s="1"/>
  <c r="AZ132" i="3"/>
  <c r="BP141" i="3"/>
  <c r="AC133" i="3"/>
  <c r="AY133" i="3" s="1"/>
  <c r="CR130" i="3" l="1"/>
  <c r="AZ139" i="3"/>
  <c r="AZ141" i="3" s="1"/>
  <c r="AZ130" i="3"/>
  <c r="CR139" i="3"/>
  <c r="CR141" i="3" s="1"/>
  <c r="BU130" i="3"/>
  <c r="CQ130" i="3" s="1"/>
  <c r="AC130" i="3"/>
  <c r="AY130" i="3" s="1"/>
  <c r="BV141" i="3"/>
  <c r="BU141" i="3" s="1"/>
  <c r="CQ141" i="3" s="1"/>
  <c r="BU139" i="3"/>
  <c r="CQ139" i="3" s="1"/>
  <c r="AD141" i="3"/>
  <c r="AC141" i="3" s="1"/>
  <c r="AY141" i="3" s="1"/>
  <c r="AC139" i="3"/>
  <c r="AY139" i="3" s="1"/>
  <c r="DI140" i="2" l="1"/>
  <c r="CO140" i="2"/>
  <c r="CN140" i="2"/>
  <c r="CM140" i="2"/>
  <c r="CJ140" i="2"/>
  <c r="CI140" i="2"/>
  <c r="CH140" i="2"/>
  <c r="CG140" i="2"/>
  <c r="CF140" i="2"/>
  <c r="CE140" i="2"/>
  <c r="CD140" i="2"/>
  <c r="CC140" i="2"/>
  <c r="CB140" i="2"/>
  <c r="CA140" i="2"/>
  <c r="BZ140" i="2"/>
  <c r="BY140" i="2"/>
  <c r="BW140" i="2"/>
  <c r="AW140" i="2"/>
  <c r="AV140" i="2"/>
  <c r="AU140" i="2"/>
  <c r="AR140" i="2"/>
  <c r="AQ140" i="2"/>
  <c r="AP140" i="2"/>
  <c r="AO140" i="2"/>
  <c r="AN140" i="2"/>
  <c r="AM140" i="2"/>
  <c r="AL140" i="2"/>
  <c r="AK140" i="2"/>
  <c r="AJ140" i="2"/>
  <c r="AH140" i="2"/>
  <c r="AE140" i="2"/>
  <c r="Z140" i="2"/>
  <c r="Y140" i="2"/>
  <c r="W140" i="2"/>
  <c r="U140" i="2"/>
  <c r="T140" i="2"/>
  <c r="S140" i="2"/>
  <c r="R140" i="2"/>
  <c r="Q140" i="2"/>
  <c r="P140" i="2"/>
  <c r="O140" i="2"/>
  <c r="N140" i="2"/>
  <c r="M140" i="2"/>
  <c r="L140" i="2"/>
  <c r="K140" i="2"/>
  <c r="I140" i="2"/>
  <c r="H140" i="2"/>
  <c r="AB139" i="2"/>
  <c r="AB141" i="2" s="1"/>
  <c r="DI138" i="2"/>
  <c r="CM138" i="2"/>
  <c r="AU138" i="2"/>
  <c r="AA138" i="2"/>
  <c r="Y138" i="2"/>
  <c r="DI137" i="2"/>
  <c r="CO137" i="2"/>
  <c r="CN137" i="2"/>
  <c r="CM137" i="2"/>
  <c r="CL137" i="2"/>
  <c r="CK137" i="2"/>
  <c r="CJ137" i="2"/>
  <c r="CG137" i="2"/>
  <c r="CF137" i="2"/>
  <c r="CE137" i="2"/>
  <c r="CD137" i="2"/>
  <c r="CC137" i="2"/>
  <c r="BZ137" i="2"/>
  <c r="BY137" i="2"/>
  <c r="BX137" i="2"/>
  <c r="BW137" i="2"/>
  <c r="AW137" i="2"/>
  <c r="AV137" i="2"/>
  <c r="AU137" i="2"/>
  <c r="AT137" i="2"/>
  <c r="AS137" i="2"/>
  <c r="AR137" i="2"/>
  <c r="AO137" i="2"/>
  <c r="AN137" i="2"/>
  <c r="AM137" i="2"/>
  <c r="AL137" i="2"/>
  <c r="AK137" i="2"/>
  <c r="AH137" i="2"/>
  <c r="AG137" i="2"/>
  <c r="AF137" i="2"/>
  <c r="AE137" i="2"/>
  <c r="Z137" i="2"/>
  <c r="Y137" i="2"/>
  <c r="W137" i="2"/>
  <c r="V137" i="2"/>
  <c r="U137" i="2"/>
  <c r="S137" i="2"/>
  <c r="R137" i="2"/>
  <c r="Q137" i="2"/>
  <c r="P137" i="2"/>
  <c r="O137" i="2"/>
  <c r="N137" i="2"/>
  <c r="K137" i="2"/>
  <c r="J137" i="2"/>
  <c r="I137" i="2"/>
  <c r="H137" i="2"/>
  <c r="DI136" i="2"/>
  <c r="CO136" i="2"/>
  <c r="CN136" i="2"/>
  <c r="CM136" i="2"/>
  <c r="CL136" i="2"/>
  <c r="CK136" i="2"/>
  <c r="CH136" i="2"/>
  <c r="CG136" i="2"/>
  <c r="CF136" i="2"/>
  <c r="CE136" i="2"/>
  <c r="CD136" i="2"/>
  <c r="CC136" i="2"/>
  <c r="BZ136" i="2"/>
  <c r="BY136" i="2"/>
  <c r="BX136" i="2"/>
  <c r="BW136" i="2"/>
  <c r="AW136" i="2"/>
  <c r="AV136" i="2"/>
  <c r="AU136" i="2"/>
  <c r="AT136" i="2"/>
  <c r="AS136" i="2"/>
  <c r="AP136" i="2"/>
  <c r="AO136" i="2"/>
  <c r="AN136" i="2"/>
  <c r="AM136" i="2"/>
  <c r="AL136" i="2"/>
  <c r="AK136" i="2"/>
  <c r="AH136" i="2"/>
  <c r="AG136" i="2"/>
  <c r="AF136" i="2"/>
  <c r="AE136" i="2"/>
  <c r="Z136" i="2"/>
  <c r="Y136" i="2"/>
  <c r="W136" i="2"/>
  <c r="V136" i="2"/>
  <c r="U136" i="2"/>
  <c r="T136" i="2"/>
  <c r="S136" i="2"/>
  <c r="R136" i="2"/>
  <c r="Q136" i="2"/>
  <c r="P136" i="2"/>
  <c r="O136" i="2"/>
  <c r="N136" i="2"/>
  <c r="M136" i="2"/>
  <c r="K136" i="2"/>
  <c r="I136" i="2"/>
  <c r="H136" i="2"/>
  <c r="CN135" i="2"/>
  <c r="CM135" i="2"/>
  <c r="CL135" i="2"/>
  <c r="CJ135" i="2"/>
  <c r="CG135" i="2"/>
  <c r="CF135" i="2"/>
  <c r="CE135" i="2"/>
  <c r="CD135" i="2"/>
  <c r="CC135" i="2"/>
  <c r="CB135" i="2"/>
  <c r="CA135" i="2"/>
  <c r="BZ135" i="2"/>
  <c r="BX135" i="2"/>
  <c r="BW135" i="2"/>
  <c r="AV135" i="2"/>
  <c r="AU135" i="2"/>
  <c r="AT135" i="2"/>
  <c r="AR135" i="2"/>
  <c r="AO135" i="2"/>
  <c r="AN135" i="2"/>
  <c r="AM135" i="2"/>
  <c r="AL135" i="2"/>
  <c r="AK135" i="2"/>
  <c r="AJ135" i="2"/>
  <c r="AI135" i="2"/>
  <c r="AH135" i="2"/>
  <c r="AF135" i="2"/>
  <c r="AE135" i="2"/>
  <c r="Y135" i="2"/>
  <c r="X135" i="2"/>
  <c r="X139" i="2" s="1"/>
  <c r="X141" i="2" s="1"/>
  <c r="W135" i="2"/>
  <c r="U135" i="2"/>
  <c r="T135" i="2"/>
  <c r="R135" i="2"/>
  <c r="Q135" i="2"/>
  <c r="P135" i="2"/>
  <c r="O135" i="2"/>
  <c r="N135" i="2"/>
  <c r="L135" i="2"/>
  <c r="K135" i="2"/>
  <c r="I135" i="2"/>
  <c r="H135" i="2"/>
  <c r="DI134" i="2"/>
  <c r="CO134" i="2"/>
  <c r="CN134" i="2"/>
  <c r="CM134" i="2"/>
  <c r="CL134" i="2"/>
  <c r="CK134" i="2"/>
  <c r="CJ134" i="2"/>
  <c r="CI134" i="2"/>
  <c r="CH134" i="2"/>
  <c r="CG134" i="2"/>
  <c r="CF134" i="2"/>
  <c r="CE134" i="2"/>
  <c r="CD134" i="2"/>
  <c r="CC134" i="2"/>
  <c r="CB134" i="2"/>
  <c r="BZ134" i="2"/>
  <c r="BX134" i="2"/>
  <c r="BW134" i="2"/>
  <c r="BR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H134" i="2"/>
  <c r="AF134" i="2"/>
  <c r="AE134" i="2"/>
  <c r="Z134" i="2"/>
  <c r="Y134" i="2"/>
  <c r="W134" i="2"/>
  <c r="V134" i="2"/>
  <c r="U134" i="2"/>
  <c r="T134" i="2"/>
  <c r="S134" i="2"/>
  <c r="R134" i="2"/>
  <c r="Q134" i="2"/>
  <c r="P134" i="2"/>
  <c r="O134" i="2"/>
  <c r="N134" i="2"/>
  <c r="M134" i="2"/>
  <c r="K134" i="2"/>
  <c r="I134" i="2"/>
  <c r="H134" i="2"/>
  <c r="DI133" i="2"/>
  <c r="CO133" i="2"/>
  <c r="CN133" i="2"/>
  <c r="CM133" i="2"/>
  <c r="CL133" i="2"/>
  <c r="CK133" i="2"/>
  <c r="CJ133" i="2"/>
  <c r="CH133" i="2"/>
  <c r="CF133" i="2"/>
  <c r="CE133" i="2"/>
  <c r="CD133" i="2"/>
  <c r="CC133" i="2"/>
  <c r="CB133" i="2"/>
  <c r="CA133" i="2"/>
  <c r="BZ133" i="2"/>
  <c r="BX133" i="2"/>
  <c r="BW133" i="2"/>
  <c r="AW133" i="2"/>
  <c r="AV133" i="2"/>
  <c r="AU133" i="2"/>
  <c r="AT133" i="2"/>
  <c r="AS133" i="2"/>
  <c r="AR133" i="2"/>
  <c r="AP133" i="2"/>
  <c r="AN133" i="2"/>
  <c r="AM133" i="2"/>
  <c r="AL133" i="2"/>
  <c r="AK133" i="2"/>
  <c r="AJ133" i="2"/>
  <c r="AI133" i="2"/>
  <c r="AH133" i="2"/>
  <c r="AF133" i="2"/>
  <c r="AE133" i="2"/>
  <c r="Z133" i="2"/>
  <c r="Y133" i="2"/>
  <c r="W133" i="2"/>
  <c r="U133" i="2"/>
  <c r="T133" i="2"/>
  <c r="S133" i="2"/>
  <c r="Q133" i="2"/>
  <c r="P133" i="2"/>
  <c r="O133" i="2"/>
  <c r="N133" i="2"/>
  <c r="M133" i="2"/>
  <c r="L133" i="2"/>
  <c r="K133" i="2"/>
  <c r="I133" i="2"/>
  <c r="H133" i="2"/>
  <c r="DI132" i="2"/>
  <c r="CO132" i="2"/>
  <c r="CN132" i="2"/>
  <c r="CM132" i="2"/>
  <c r="CL132" i="2"/>
  <c r="CK132" i="2"/>
  <c r="CJ132" i="2"/>
  <c r="CI132" i="2"/>
  <c r="CH132" i="2"/>
  <c r="CF132" i="2"/>
  <c r="CE132" i="2"/>
  <c r="CD132" i="2"/>
  <c r="CC132" i="2"/>
  <c r="CB132" i="2"/>
  <c r="CA132" i="2"/>
  <c r="BX132" i="2"/>
  <c r="BW132" i="2"/>
  <c r="BR132" i="2"/>
  <c r="AW132" i="2"/>
  <c r="AV132" i="2"/>
  <c r="AU132" i="2"/>
  <c r="AT132" i="2"/>
  <c r="AS132" i="2"/>
  <c r="AR132" i="2"/>
  <c r="AQ132" i="2"/>
  <c r="AP132" i="2"/>
  <c r="AN132" i="2"/>
  <c r="AM132" i="2"/>
  <c r="AL132" i="2"/>
  <c r="AK132" i="2"/>
  <c r="AJ132" i="2"/>
  <c r="AI132" i="2"/>
  <c r="AF132" i="2"/>
  <c r="AE132" i="2"/>
  <c r="Z132" i="2"/>
  <c r="Y132" i="2"/>
  <c r="W132" i="2"/>
  <c r="V132" i="2"/>
  <c r="U132" i="2"/>
  <c r="T132" i="2"/>
  <c r="S132" i="2"/>
  <c r="M132" i="2"/>
  <c r="L132" i="2"/>
  <c r="I132" i="2"/>
  <c r="H132" i="2"/>
  <c r="DI128" i="2"/>
  <c r="CO128" i="2"/>
  <c r="CL128" i="2"/>
  <c r="CK128" i="2"/>
  <c r="CH128" i="2"/>
  <c r="CF128" i="2"/>
  <c r="CE128" i="2"/>
  <c r="CD128" i="2"/>
  <c r="CC128" i="2"/>
  <c r="CB128" i="2"/>
  <c r="BX128" i="2"/>
  <c r="BW128" i="2"/>
  <c r="BQ128" i="2"/>
  <c r="AW128" i="2"/>
  <c r="AU128" i="2"/>
  <c r="AT128" i="2"/>
  <c r="AS128" i="2"/>
  <c r="AP128" i="2"/>
  <c r="AN128" i="2"/>
  <c r="AM128" i="2"/>
  <c r="AL128" i="2"/>
  <c r="AK128" i="2"/>
  <c r="AJ128" i="2"/>
  <c r="AF128" i="2"/>
  <c r="Z128" i="2"/>
  <c r="Y128" i="2"/>
  <c r="X128" i="2"/>
  <c r="W128" i="2"/>
  <c r="T128" i="2"/>
  <c r="S128" i="2"/>
  <c r="M128" i="2"/>
  <c r="L128" i="2"/>
  <c r="I128" i="2"/>
  <c r="H128" i="2"/>
  <c r="DK127" i="2"/>
  <c r="DJ127" i="2"/>
  <c r="DH127" i="2"/>
  <c r="DG127" i="2"/>
  <c r="DF127" i="2"/>
  <c r="DE127" i="2"/>
  <c r="DD127" i="2"/>
  <c r="DC127" i="2"/>
  <c r="DB127" i="2"/>
  <c r="DA127" i="2"/>
  <c r="CZ127" i="2"/>
  <c r="CY127" i="2"/>
  <c r="CX127" i="2"/>
  <c r="CV127" i="2"/>
  <c r="CU127" i="2"/>
  <c r="CT127" i="2"/>
  <c r="CS127" i="2"/>
  <c r="CP127" i="2"/>
  <c r="CA127" i="2"/>
  <c r="CW127" i="2" s="1"/>
  <c r="BS127" i="2"/>
  <c r="BP127" i="2"/>
  <c r="BO127" i="2"/>
  <c r="BN127" i="2"/>
  <c r="BM127" i="2"/>
  <c r="BL127" i="2"/>
  <c r="BK127" i="2"/>
  <c r="BJ127" i="2"/>
  <c r="BI127" i="2"/>
  <c r="BH127" i="2"/>
  <c r="BG127" i="2"/>
  <c r="BF127" i="2"/>
  <c r="BD127" i="2"/>
  <c r="BC127" i="2"/>
  <c r="BB127" i="2"/>
  <c r="BA127" i="2"/>
  <c r="AX127" i="2"/>
  <c r="AI127" i="2"/>
  <c r="BE127" i="2" s="1"/>
  <c r="AA127" i="2"/>
  <c r="G127" i="2" s="1"/>
  <c r="DL126" i="2"/>
  <c r="DK126" i="2"/>
  <c r="DJ126" i="2"/>
  <c r="DH126" i="2"/>
  <c r="DG126" i="2"/>
  <c r="DF126" i="2"/>
  <c r="DE126" i="2"/>
  <c r="DD126" i="2"/>
  <c r="DC126" i="2"/>
  <c r="DB126" i="2"/>
  <c r="DA126" i="2"/>
  <c r="CZ126" i="2"/>
  <c r="CY126" i="2"/>
  <c r="CX126" i="2"/>
  <c r="CV126" i="2"/>
  <c r="CU126" i="2"/>
  <c r="CT126" i="2"/>
  <c r="CS126" i="2"/>
  <c r="CA126" i="2"/>
  <c r="CW126" i="2" s="1"/>
  <c r="BT126" i="2"/>
  <c r="BS126" i="2"/>
  <c r="BP126" i="2"/>
  <c r="BO126" i="2"/>
  <c r="BN126" i="2"/>
  <c r="BM126" i="2"/>
  <c r="BL126" i="2"/>
  <c r="BK126" i="2"/>
  <c r="BJ126" i="2"/>
  <c r="BI126" i="2"/>
  <c r="BH126" i="2"/>
  <c r="BG126" i="2"/>
  <c r="BF126" i="2"/>
  <c r="BD126" i="2"/>
  <c r="BC126" i="2"/>
  <c r="BB126" i="2"/>
  <c r="BA126" i="2"/>
  <c r="AI126" i="2"/>
  <c r="BE126" i="2" s="1"/>
  <c r="G126" i="2"/>
  <c r="DL125" i="2"/>
  <c r="DK125" i="2"/>
  <c r="DJ125" i="2"/>
  <c r="DH125" i="2"/>
  <c r="DG125" i="2"/>
  <c r="DF125" i="2"/>
  <c r="DE125" i="2"/>
  <c r="DD125" i="2"/>
  <c r="DC125" i="2"/>
  <c r="DB125" i="2"/>
  <c r="DA125" i="2"/>
  <c r="CZ125" i="2"/>
  <c r="CY125" i="2"/>
  <c r="CX125" i="2"/>
  <c r="CV125" i="2"/>
  <c r="CU125" i="2"/>
  <c r="CT125" i="2"/>
  <c r="CS125" i="2"/>
  <c r="CA125" i="2"/>
  <c r="BT125" i="2"/>
  <c r="BS125" i="2"/>
  <c r="BP125" i="2"/>
  <c r="BO125" i="2"/>
  <c r="BN125" i="2"/>
  <c r="BM125" i="2"/>
  <c r="BL125" i="2"/>
  <c r="BK125" i="2"/>
  <c r="BJ125" i="2"/>
  <c r="BI125" i="2"/>
  <c r="BH125" i="2"/>
  <c r="BG125" i="2"/>
  <c r="BF125" i="2"/>
  <c r="BD125" i="2"/>
  <c r="BC125" i="2"/>
  <c r="BB125" i="2"/>
  <c r="BA125" i="2"/>
  <c r="AI125" i="2"/>
  <c r="BE125" i="2" s="1"/>
  <c r="G125" i="2"/>
  <c r="DL124" i="2"/>
  <c r="DK124" i="2"/>
  <c r="DJ124" i="2"/>
  <c r="DH124" i="2"/>
  <c r="DG124" i="2"/>
  <c r="DF124" i="2"/>
  <c r="DE124" i="2"/>
  <c r="DD124" i="2"/>
  <c r="DC124" i="2"/>
  <c r="DB124" i="2"/>
  <c r="DA124" i="2"/>
  <c r="CZ124" i="2"/>
  <c r="CY124" i="2"/>
  <c r="CX124" i="2"/>
  <c r="CW124" i="2"/>
  <c r="CV124" i="2"/>
  <c r="CU124" i="2"/>
  <c r="CT124" i="2"/>
  <c r="CS124" i="2"/>
  <c r="BV124" i="2"/>
  <c r="BU124" i="2" s="1"/>
  <c r="CQ124" i="2" s="1"/>
  <c r="BT124" i="2"/>
  <c r="BS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D124" i="2"/>
  <c r="G124" i="2"/>
  <c r="DL123" i="2"/>
  <c r="DK123" i="2"/>
  <c r="DJ123" i="2"/>
  <c r="DH123" i="2"/>
  <c r="DG123" i="2"/>
  <c r="DF123" i="2"/>
  <c r="DE123" i="2"/>
  <c r="DD123" i="2"/>
  <c r="DC123" i="2"/>
  <c r="DB123" i="2"/>
  <c r="DA123" i="2"/>
  <c r="CZ123" i="2"/>
  <c r="CY123" i="2"/>
  <c r="CX123" i="2"/>
  <c r="CW123" i="2"/>
  <c r="CV123" i="2"/>
  <c r="CU123" i="2"/>
  <c r="CT123" i="2"/>
  <c r="CS123" i="2"/>
  <c r="BV123" i="2"/>
  <c r="BT123" i="2"/>
  <c r="BS123" i="2"/>
  <c r="BP123" i="2"/>
  <c r="BO123" i="2"/>
  <c r="BN123" i="2"/>
  <c r="BM123" i="2"/>
  <c r="BL123" i="2"/>
  <c r="BK123" i="2"/>
  <c r="BJ123" i="2"/>
  <c r="BI123" i="2"/>
  <c r="BH123" i="2"/>
  <c r="BG123" i="2"/>
  <c r="BF123" i="2"/>
  <c r="BD123" i="2"/>
  <c r="BC123" i="2"/>
  <c r="BB123" i="2"/>
  <c r="BA123" i="2"/>
  <c r="AI123" i="2"/>
  <c r="G123" i="2"/>
  <c r="DL122" i="2"/>
  <c r="DK122" i="2"/>
  <c r="DJ122" i="2"/>
  <c r="DH122" i="2"/>
  <c r="DG122" i="2"/>
  <c r="DF122" i="2"/>
  <c r="DE122" i="2"/>
  <c r="DD122" i="2"/>
  <c r="DC122" i="2"/>
  <c r="DB122" i="2"/>
  <c r="DA122" i="2"/>
  <c r="CZ122" i="2"/>
  <c r="CY122" i="2"/>
  <c r="CX122" i="2"/>
  <c r="CV122" i="2"/>
  <c r="CU122" i="2"/>
  <c r="CT122" i="2"/>
  <c r="CS122" i="2"/>
  <c r="CA122" i="2"/>
  <c r="BT122" i="2"/>
  <c r="BS122" i="2"/>
  <c r="BP122" i="2"/>
  <c r="BO122" i="2"/>
  <c r="BN122" i="2"/>
  <c r="BM122" i="2"/>
  <c r="BL122" i="2"/>
  <c r="BK122" i="2"/>
  <c r="BJ122" i="2"/>
  <c r="BI122" i="2"/>
  <c r="BH122" i="2"/>
  <c r="BG122" i="2"/>
  <c r="BF122" i="2"/>
  <c r="BD122" i="2"/>
  <c r="BC122" i="2"/>
  <c r="BB122" i="2"/>
  <c r="BA122" i="2"/>
  <c r="AI122" i="2"/>
  <c r="G122" i="2"/>
  <c r="CN121" i="2"/>
  <c r="CN138" i="2" s="1"/>
  <c r="CJ121" i="2"/>
  <c r="CJ138" i="2" s="1"/>
  <c r="AV121" i="2"/>
  <c r="AR121" i="2"/>
  <c r="AR128" i="2" s="1"/>
  <c r="U121" i="2"/>
  <c r="DL120" i="2"/>
  <c r="DK120" i="2"/>
  <c r="DJ120" i="2"/>
  <c r="DH120" i="2"/>
  <c r="DG120" i="2"/>
  <c r="DF120" i="2"/>
  <c r="DD120" i="2"/>
  <c r="DC120" i="2"/>
  <c r="DB120" i="2"/>
  <c r="DA120" i="2"/>
  <c r="CZ120" i="2"/>
  <c r="CY120" i="2"/>
  <c r="CX120" i="2"/>
  <c r="CW120" i="2"/>
  <c r="CV120" i="2"/>
  <c r="CU120" i="2"/>
  <c r="CT120" i="2"/>
  <c r="CS120" i="2"/>
  <c r="CI120" i="2"/>
  <c r="CI128" i="2" s="1"/>
  <c r="BT120" i="2"/>
  <c r="BS120" i="2"/>
  <c r="BR120" i="2"/>
  <c r="BR133" i="2" s="1"/>
  <c r="BP120" i="2"/>
  <c r="BO120" i="2"/>
  <c r="BN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Q120" i="2"/>
  <c r="AQ128" i="2" s="1"/>
  <c r="G120" i="2"/>
  <c r="DL119" i="2"/>
  <c r="DK119" i="2"/>
  <c r="DJ119" i="2"/>
  <c r="DH119" i="2"/>
  <c r="DF119" i="2"/>
  <c r="DE119" i="2"/>
  <c r="DD119" i="2"/>
  <c r="DC119" i="2"/>
  <c r="DB119" i="2"/>
  <c r="DA119" i="2"/>
  <c r="CZ119" i="2"/>
  <c r="CY119" i="2"/>
  <c r="CX119" i="2"/>
  <c r="CW119" i="2"/>
  <c r="CV119" i="2"/>
  <c r="CT119" i="2"/>
  <c r="CS119" i="2"/>
  <c r="BY119" i="2"/>
  <c r="BV119" i="2" s="1"/>
  <c r="BT119" i="2"/>
  <c r="BS119" i="2"/>
  <c r="BP119" i="2"/>
  <c r="BN119" i="2"/>
  <c r="BM119" i="2"/>
  <c r="BL119" i="2"/>
  <c r="BK119" i="2"/>
  <c r="BJ119" i="2"/>
  <c r="BI119" i="2"/>
  <c r="BH119" i="2"/>
  <c r="BG119" i="2"/>
  <c r="BF119" i="2"/>
  <c r="BE119" i="2"/>
  <c r="BD119" i="2"/>
  <c r="BB119" i="2"/>
  <c r="BA119" i="2"/>
  <c r="AG119" i="2"/>
  <c r="AD119" i="2" s="1"/>
  <c r="V119" i="2"/>
  <c r="J119" i="2"/>
  <c r="J133" i="2" s="1"/>
  <c r="DK118" i="2"/>
  <c r="DJ118" i="2"/>
  <c r="DH118" i="2"/>
  <c r="DG118" i="2"/>
  <c r="DF118" i="2"/>
  <c r="DE118" i="2"/>
  <c r="DD118" i="2"/>
  <c r="DC118" i="2"/>
  <c r="DB118" i="2"/>
  <c r="DA118" i="2"/>
  <c r="CZ118" i="2"/>
  <c r="CY118" i="2"/>
  <c r="CX118" i="2"/>
  <c r="CW118" i="2"/>
  <c r="CV118" i="2"/>
  <c r="CU118" i="2"/>
  <c r="CT118" i="2"/>
  <c r="CS118" i="2"/>
  <c r="CP118" i="2"/>
  <c r="BV118" i="2" s="1"/>
  <c r="BS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X118" i="2"/>
  <c r="AA118" i="2"/>
  <c r="DL117" i="2"/>
  <c r="DK117" i="2"/>
  <c r="DJ117" i="2"/>
  <c r="DH117" i="2"/>
  <c r="DG117" i="2"/>
  <c r="DF117" i="2"/>
  <c r="DE117" i="2"/>
  <c r="DD117" i="2"/>
  <c r="DC117" i="2"/>
  <c r="DB117" i="2"/>
  <c r="DA117" i="2"/>
  <c r="CZ117" i="2"/>
  <c r="CY117" i="2"/>
  <c r="CX117" i="2"/>
  <c r="CW117" i="2"/>
  <c r="CV117" i="2"/>
  <c r="CU117" i="2"/>
  <c r="CT117" i="2"/>
  <c r="CS117" i="2"/>
  <c r="BV117" i="2"/>
  <c r="BT117" i="2"/>
  <c r="BS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D117" i="2"/>
  <c r="AC117" i="2" s="1"/>
  <c r="AY117" i="2" s="1"/>
  <c r="G117" i="2"/>
  <c r="DK116" i="2"/>
  <c r="DJ116" i="2"/>
  <c r="DH116" i="2"/>
  <c r="DG116" i="2"/>
  <c r="DF116" i="2"/>
  <c r="DE116" i="2"/>
  <c r="DD116" i="2"/>
  <c r="DC116" i="2"/>
  <c r="DB116" i="2"/>
  <c r="DA116" i="2"/>
  <c r="CZ116" i="2"/>
  <c r="CY116" i="2"/>
  <c r="CX116" i="2"/>
  <c r="CW116" i="2"/>
  <c r="CV116" i="2"/>
  <c r="CU116" i="2"/>
  <c r="CT116" i="2"/>
  <c r="CS116" i="2"/>
  <c r="CP116" i="2"/>
  <c r="BV116" i="2" s="1"/>
  <c r="BS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BA116" i="2"/>
  <c r="AX116" i="2"/>
  <c r="AD116" i="2" s="1"/>
  <c r="AA116" i="2"/>
  <c r="DK115" i="2"/>
  <c r="DJ115" i="2"/>
  <c r="DH115" i="2"/>
  <c r="DG115" i="2"/>
  <c r="DF115" i="2"/>
  <c r="DE115" i="2"/>
  <c r="DD115" i="2"/>
  <c r="DB115" i="2"/>
  <c r="DA115" i="2"/>
  <c r="CZ115" i="2"/>
  <c r="CY115" i="2"/>
  <c r="CX115" i="2"/>
  <c r="CW115" i="2"/>
  <c r="CV115" i="2"/>
  <c r="CT115" i="2"/>
  <c r="CS115" i="2"/>
  <c r="CP115" i="2"/>
  <c r="CG115" i="2"/>
  <c r="CG133" i="2" s="1"/>
  <c r="BY115" i="2"/>
  <c r="BS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BB115" i="2"/>
  <c r="BA115" i="2"/>
  <c r="AX115" i="2"/>
  <c r="AG115" i="2"/>
  <c r="AA115" i="2"/>
  <c r="DL114" i="2"/>
  <c r="DK114" i="2"/>
  <c r="DJ114" i="2"/>
  <c r="DH114" i="2"/>
  <c r="DG114" i="2"/>
  <c r="DF114" i="2"/>
  <c r="DE114" i="2"/>
  <c r="DD114" i="2"/>
  <c r="DC114" i="2"/>
  <c r="DB114" i="2"/>
  <c r="DA114" i="2"/>
  <c r="CZ114" i="2"/>
  <c r="CY114" i="2"/>
  <c r="CX114" i="2"/>
  <c r="CW114" i="2"/>
  <c r="CV114" i="2"/>
  <c r="CT114" i="2"/>
  <c r="CS114" i="2"/>
  <c r="BY114" i="2"/>
  <c r="BV114" i="2" s="1"/>
  <c r="BT114" i="2"/>
  <c r="BS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BB114" i="2"/>
  <c r="BA114" i="2"/>
  <c r="AG114" i="2"/>
  <c r="G114" i="2"/>
  <c r="DL113" i="2"/>
  <c r="DK113" i="2"/>
  <c r="DJ113" i="2"/>
  <c r="DH113" i="2"/>
  <c r="DG113" i="2"/>
  <c r="DF113" i="2"/>
  <c r="DE113" i="2"/>
  <c r="DD113" i="2"/>
  <c r="DC113" i="2"/>
  <c r="DB113" i="2"/>
  <c r="DA113" i="2"/>
  <c r="CZ113" i="2"/>
  <c r="CY113" i="2"/>
  <c r="CX113" i="2"/>
  <c r="CW113" i="2"/>
  <c r="CV113" i="2"/>
  <c r="CT113" i="2"/>
  <c r="CS113" i="2"/>
  <c r="BY113" i="2"/>
  <c r="BV113" i="2" s="1"/>
  <c r="BT113" i="2"/>
  <c r="BS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B113" i="2"/>
  <c r="BA113" i="2"/>
  <c r="AG113" i="2"/>
  <c r="BC113" i="2" s="1"/>
  <c r="G113" i="2"/>
  <c r="DK112" i="2"/>
  <c r="DJ112" i="2"/>
  <c r="DH112" i="2"/>
  <c r="DG112" i="2"/>
  <c r="DF112" i="2"/>
  <c r="DE112" i="2"/>
  <c r="DD112" i="2"/>
  <c r="DC112" i="2"/>
  <c r="DB112" i="2"/>
  <c r="DA112" i="2"/>
  <c r="CZ112" i="2"/>
  <c r="CY112" i="2"/>
  <c r="CX112" i="2"/>
  <c r="CW112" i="2"/>
  <c r="CV112" i="2"/>
  <c r="CT112" i="2"/>
  <c r="CS112" i="2"/>
  <c r="CP112" i="2"/>
  <c r="BY112" i="2"/>
  <c r="BS112" i="2"/>
  <c r="BP112" i="2"/>
  <c r="BO112" i="2"/>
  <c r="BN112" i="2"/>
  <c r="BM112" i="2"/>
  <c r="BL112" i="2"/>
  <c r="BJ112" i="2"/>
  <c r="BI112" i="2"/>
  <c r="BH112" i="2"/>
  <c r="BG112" i="2"/>
  <c r="BF112" i="2"/>
  <c r="BE112" i="2"/>
  <c r="BD112" i="2"/>
  <c r="BB112" i="2"/>
  <c r="BA112" i="2"/>
  <c r="AX112" i="2"/>
  <c r="AO112" i="2"/>
  <c r="AG112" i="2"/>
  <c r="AA112" i="2"/>
  <c r="G112" i="2" s="1"/>
  <c r="R112" i="2"/>
  <c r="R133" i="2" s="1"/>
  <c r="DL111" i="2"/>
  <c r="DK111" i="2"/>
  <c r="DJ111" i="2"/>
  <c r="DH111" i="2"/>
  <c r="DG111" i="2"/>
  <c r="DF111" i="2"/>
  <c r="DE111" i="2"/>
  <c r="DD111" i="2"/>
  <c r="DB111" i="2"/>
  <c r="DA111" i="2"/>
  <c r="CZ111" i="2"/>
  <c r="CY111" i="2"/>
  <c r="CX111" i="2"/>
  <c r="CW111" i="2"/>
  <c r="CU111" i="2"/>
  <c r="CT111" i="2"/>
  <c r="CS111" i="2"/>
  <c r="CG111" i="2"/>
  <c r="BZ111" i="2"/>
  <c r="CV111" i="2" s="1"/>
  <c r="BT111" i="2"/>
  <c r="BS111" i="2"/>
  <c r="BP111" i="2"/>
  <c r="BO111" i="2"/>
  <c r="BN111" i="2"/>
  <c r="BM111" i="2"/>
  <c r="BL111" i="2"/>
  <c r="BJ111" i="2"/>
  <c r="BI111" i="2"/>
  <c r="BH111" i="2"/>
  <c r="BG111" i="2"/>
  <c r="BF111" i="2"/>
  <c r="BE111" i="2"/>
  <c r="BC111" i="2"/>
  <c r="BB111" i="2"/>
  <c r="BA111" i="2"/>
  <c r="AO111" i="2"/>
  <c r="AH111" i="2"/>
  <c r="R111" i="2"/>
  <c r="G111" i="2" s="1"/>
  <c r="DK110" i="2"/>
  <c r="DJ110" i="2"/>
  <c r="DH110" i="2"/>
  <c r="DG110" i="2"/>
  <c r="DF110" i="2"/>
  <c r="DE110" i="2"/>
  <c r="DD110" i="2"/>
  <c r="DA110" i="2"/>
  <c r="CZ110" i="2"/>
  <c r="CY110" i="2"/>
  <c r="CX110" i="2"/>
  <c r="CW110" i="2"/>
  <c r="CT110" i="2"/>
  <c r="CS110" i="2"/>
  <c r="CP110" i="2"/>
  <c r="CG110" i="2"/>
  <c r="BZ110" i="2"/>
  <c r="BY110" i="2"/>
  <c r="CU110" i="2" s="1"/>
  <c r="BS110" i="2"/>
  <c r="BP110" i="2"/>
  <c r="BO110" i="2"/>
  <c r="BN110" i="2"/>
  <c r="BM110" i="2"/>
  <c r="BL110" i="2"/>
  <c r="BI110" i="2"/>
  <c r="BH110" i="2"/>
  <c r="BG110" i="2"/>
  <c r="BF110" i="2"/>
  <c r="BE110" i="2"/>
  <c r="BB110" i="2"/>
  <c r="BA110" i="2"/>
  <c r="AX110" i="2"/>
  <c r="AO110" i="2"/>
  <c r="BK110" i="2" s="1"/>
  <c r="AH110" i="2"/>
  <c r="BD110" i="2" s="1"/>
  <c r="AG110" i="2"/>
  <c r="AA110" i="2"/>
  <c r="R110" i="2"/>
  <c r="Q110" i="2"/>
  <c r="Q132" i="2" s="1"/>
  <c r="DK109" i="2"/>
  <c r="DJ109" i="2"/>
  <c r="DH109" i="2"/>
  <c r="DG109" i="2"/>
  <c r="DF109" i="2"/>
  <c r="DE109" i="2"/>
  <c r="DD109" i="2"/>
  <c r="DB109" i="2"/>
  <c r="CX109" i="2"/>
  <c r="CW109" i="2"/>
  <c r="CT109" i="2"/>
  <c r="CS109" i="2"/>
  <c r="BY109" i="2"/>
  <c r="BS109" i="2"/>
  <c r="BP109" i="2"/>
  <c r="BO109" i="2"/>
  <c r="BN109" i="2"/>
  <c r="BM109" i="2"/>
  <c r="BL109" i="2"/>
  <c r="BJ109" i="2"/>
  <c r="BF109" i="2"/>
  <c r="BE109" i="2"/>
  <c r="BB109" i="2"/>
  <c r="BA109" i="2"/>
  <c r="AG109" i="2"/>
  <c r="AD109" i="2" s="1"/>
  <c r="AA109" i="2"/>
  <c r="DL109" i="2" s="1"/>
  <c r="R109" i="2"/>
  <c r="P109" i="2"/>
  <c r="P132" i="2" s="1"/>
  <c r="O109" i="2"/>
  <c r="CZ109" i="2" s="1"/>
  <c r="N109" i="2"/>
  <c r="CY109" i="2" s="1"/>
  <c r="K109" i="2"/>
  <c r="CV109" i="2" s="1"/>
  <c r="J109" i="2"/>
  <c r="DI108" i="2"/>
  <c r="CO108" i="2"/>
  <c r="CN108" i="2"/>
  <c r="CJ108" i="2"/>
  <c r="CI108" i="2"/>
  <c r="CH108" i="2"/>
  <c r="CG108" i="2"/>
  <c r="CF108" i="2"/>
  <c r="CE108" i="2"/>
  <c r="CD108" i="2"/>
  <c r="CB108" i="2"/>
  <c r="CA108" i="2"/>
  <c r="BY108" i="2"/>
  <c r="BW108" i="2"/>
  <c r="BQ108" i="2"/>
  <c r="AW108" i="2"/>
  <c r="AV108" i="2"/>
  <c r="AU108" i="2"/>
  <c r="AR108" i="2"/>
  <c r="AQ108" i="2"/>
  <c r="AP108" i="2"/>
  <c r="AO108" i="2"/>
  <c r="AN108" i="2"/>
  <c r="AM108" i="2"/>
  <c r="AL108" i="2"/>
  <c r="AK108" i="2"/>
  <c r="AJ108" i="2"/>
  <c r="AH108" i="2"/>
  <c r="Z108" i="2"/>
  <c r="Y108" i="2"/>
  <c r="X108" i="2"/>
  <c r="W108" i="2"/>
  <c r="U108" i="2"/>
  <c r="T108" i="2"/>
  <c r="S108" i="2"/>
  <c r="R108" i="2"/>
  <c r="Q108" i="2"/>
  <c r="P108" i="2"/>
  <c r="O108" i="2"/>
  <c r="N108" i="2"/>
  <c r="M108" i="2"/>
  <c r="L108" i="2"/>
  <c r="K108" i="2"/>
  <c r="I108" i="2"/>
  <c r="H108" i="2"/>
  <c r="DL107" i="2"/>
  <c r="DK107" i="2"/>
  <c r="DJ107" i="2"/>
  <c r="DH107" i="2"/>
  <c r="DF107" i="2"/>
  <c r="DE107" i="2"/>
  <c r="DD107" i="2"/>
  <c r="DC107" i="2"/>
  <c r="DB107" i="2"/>
  <c r="DA107" i="2"/>
  <c r="CZ107" i="2"/>
  <c r="CY107" i="2"/>
  <c r="CX107" i="2"/>
  <c r="CW107" i="2"/>
  <c r="CV107" i="2"/>
  <c r="CT107" i="2"/>
  <c r="CS107" i="2"/>
  <c r="CK107" i="2"/>
  <c r="CK140" i="2" s="1"/>
  <c r="BT107" i="2"/>
  <c r="BS107" i="2"/>
  <c r="BP107" i="2"/>
  <c r="BN107" i="2"/>
  <c r="BM107" i="2"/>
  <c r="BL107" i="2"/>
  <c r="BK107" i="2"/>
  <c r="BJ107" i="2"/>
  <c r="BI107" i="2"/>
  <c r="BH107" i="2"/>
  <c r="BG107" i="2"/>
  <c r="BF107" i="2"/>
  <c r="BE107" i="2"/>
  <c r="BD107" i="2"/>
  <c r="BB107" i="2"/>
  <c r="BA107" i="2"/>
  <c r="AS107" i="2"/>
  <c r="V107" i="2"/>
  <c r="J107" i="2"/>
  <c r="J108" i="2" s="1"/>
  <c r="DL106" i="2"/>
  <c r="DK106" i="2"/>
  <c r="DJ106" i="2"/>
  <c r="DG106" i="2"/>
  <c r="DF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S106" i="2"/>
  <c r="CL106" i="2"/>
  <c r="BV106" i="2" s="1"/>
  <c r="BT106" i="2"/>
  <c r="BS106" i="2"/>
  <c r="BO106" i="2"/>
  <c r="BN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T106" i="2"/>
  <c r="AD106" i="2" s="1"/>
  <c r="G106" i="2"/>
  <c r="DL105" i="2"/>
  <c r="DK105" i="2"/>
  <c r="DJ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T105" i="2"/>
  <c r="CS105" i="2"/>
  <c r="CL105" i="2"/>
  <c r="DH105" i="2" s="1"/>
  <c r="BT105" i="2"/>
  <c r="BS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T105" i="2"/>
  <c r="G105" i="2"/>
  <c r="DL104" i="2"/>
  <c r="DK104" i="2"/>
  <c r="DJ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S104" i="2"/>
  <c r="BX104" i="2"/>
  <c r="BT104" i="2"/>
  <c r="BS104" i="2"/>
  <c r="BO104" i="2"/>
  <c r="BN104" i="2"/>
  <c r="BM104" i="2"/>
  <c r="BL104" i="2"/>
  <c r="BK104" i="2"/>
  <c r="BJ104" i="2"/>
  <c r="BI104" i="2"/>
  <c r="BH104" i="2"/>
  <c r="BG104" i="2"/>
  <c r="BF104" i="2"/>
  <c r="BD104" i="2"/>
  <c r="BA104" i="2"/>
  <c r="AT104" i="2"/>
  <c r="BP104" i="2" s="1"/>
  <c r="AI104" i="2"/>
  <c r="AG104" i="2"/>
  <c r="AG108" i="2" s="1"/>
  <c r="AF104" i="2"/>
  <c r="AF140" i="2" s="1"/>
  <c r="G104" i="2"/>
  <c r="DK103" i="2"/>
  <c r="DJ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S103" i="2"/>
  <c r="CP103" i="2"/>
  <c r="BV103" i="2" s="1"/>
  <c r="CL103" i="2"/>
  <c r="BS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X103" i="2"/>
  <c r="AT103" i="2"/>
  <c r="AA103" i="2"/>
  <c r="DK102" i="2"/>
  <c r="DJ102" i="2"/>
  <c r="DG102" i="2"/>
  <c r="DF102" i="2"/>
  <c r="DE102" i="2"/>
  <c r="DD102" i="2"/>
  <c r="DC102" i="2"/>
  <c r="DB102" i="2"/>
  <c r="DA102" i="2"/>
  <c r="CZ102" i="2"/>
  <c r="CY102" i="2"/>
  <c r="CX102" i="2"/>
  <c r="CW102" i="2"/>
  <c r="CV102" i="2"/>
  <c r="CU102" i="2"/>
  <c r="CT102" i="2"/>
  <c r="CS102" i="2"/>
  <c r="CP102" i="2"/>
  <c r="CL102" i="2" s="1"/>
  <c r="BV102" i="2" s="1"/>
  <c r="BS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X102" i="2"/>
  <c r="AT102" i="2"/>
  <c r="BP102" i="2" s="1"/>
  <c r="AA102" i="2"/>
  <c r="DK101" i="2"/>
  <c r="DJ101" i="2"/>
  <c r="DG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L101" i="2"/>
  <c r="BS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T101" i="2"/>
  <c r="BP101" i="2" s="1"/>
  <c r="AA101" i="2"/>
  <c r="DL100" i="2"/>
  <c r="DK100" i="2"/>
  <c r="DJ100" i="2"/>
  <c r="DG100" i="2"/>
  <c r="DF100" i="2"/>
  <c r="DE100" i="2"/>
  <c r="DD100" i="2"/>
  <c r="DC100" i="2"/>
  <c r="DB100" i="2"/>
  <c r="DA100" i="2"/>
  <c r="CZ100" i="2"/>
  <c r="CY100" i="2"/>
  <c r="CX100" i="2"/>
  <c r="CW100" i="2"/>
  <c r="CV100" i="2"/>
  <c r="CU100" i="2"/>
  <c r="CT100" i="2"/>
  <c r="CS100" i="2"/>
  <c r="CL100" i="2"/>
  <c r="BT100" i="2"/>
  <c r="BS100" i="2"/>
  <c r="BR100" i="2"/>
  <c r="BR140" i="2" s="1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BA100" i="2"/>
  <c r="AT100" i="2"/>
  <c r="G100" i="2"/>
  <c r="DL99" i="2"/>
  <c r="DK99" i="2"/>
  <c r="DJ99" i="2"/>
  <c r="DH99" i="2"/>
  <c r="DG99" i="2"/>
  <c r="DF99" i="2"/>
  <c r="DE99" i="2"/>
  <c r="DD99" i="2"/>
  <c r="DC99" i="2"/>
  <c r="DB99" i="2"/>
  <c r="DA99" i="2"/>
  <c r="CZ99" i="2"/>
  <c r="CY99" i="2"/>
  <c r="CX99" i="2"/>
  <c r="CW99" i="2"/>
  <c r="CV99" i="2"/>
  <c r="CU99" i="2"/>
  <c r="CT99" i="2"/>
  <c r="CS99" i="2"/>
  <c r="BV99" i="2"/>
  <c r="BT99" i="2"/>
  <c r="BS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D99" i="2"/>
  <c r="G99" i="2"/>
  <c r="DL98" i="2"/>
  <c r="DK98" i="2"/>
  <c r="DJ98" i="2"/>
  <c r="DG98" i="2"/>
  <c r="DF98" i="2"/>
  <c r="DE98" i="2"/>
  <c r="DD98" i="2"/>
  <c r="DC98" i="2"/>
  <c r="DB98" i="2"/>
  <c r="DA98" i="2"/>
  <c r="CZ98" i="2"/>
  <c r="CY98" i="2"/>
  <c r="CX98" i="2"/>
  <c r="CW98" i="2"/>
  <c r="CV98" i="2"/>
  <c r="CU98" i="2"/>
  <c r="CT98" i="2"/>
  <c r="CS98" i="2"/>
  <c r="CL98" i="2"/>
  <c r="BV98" i="2" s="1"/>
  <c r="BT98" i="2"/>
  <c r="BS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T98" i="2"/>
  <c r="BP98" i="2" s="1"/>
  <c r="G98" i="2"/>
  <c r="DL97" i="2"/>
  <c r="DK97" i="2"/>
  <c r="DJ97" i="2"/>
  <c r="DG97" i="2"/>
  <c r="DF97" i="2"/>
  <c r="DE97" i="2"/>
  <c r="DD97" i="2"/>
  <c r="DC97" i="2"/>
  <c r="DB97" i="2"/>
  <c r="DA97" i="2"/>
  <c r="CZ97" i="2"/>
  <c r="CY97" i="2"/>
  <c r="CX97" i="2"/>
  <c r="CW97" i="2"/>
  <c r="CV97" i="2"/>
  <c r="CU97" i="2"/>
  <c r="CT97" i="2"/>
  <c r="CS97" i="2"/>
  <c r="CL97" i="2"/>
  <c r="BV97" i="2" s="1"/>
  <c r="BT97" i="2"/>
  <c r="BS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T97" i="2"/>
  <c r="BP97" i="2" s="1"/>
  <c r="G97" i="2"/>
  <c r="DK96" i="2"/>
  <c r="DJ96" i="2"/>
  <c r="DH96" i="2"/>
  <c r="DG96" i="2"/>
  <c r="DF96" i="2"/>
  <c r="DE96" i="2"/>
  <c r="DD96" i="2"/>
  <c r="DC96" i="2"/>
  <c r="DB96" i="2"/>
  <c r="DA96" i="2"/>
  <c r="CZ96" i="2"/>
  <c r="CY96" i="2"/>
  <c r="CX96" i="2"/>
  <c r="CW96" i="2"/>
  <c r="CV96" i="2"/>
  <c r="CU96" i="2"/>
  <c r="CT96" i="2"/>
  <c r="CS96" i="2"/>
  <c r="CP96" i="2"/>
  <c r="BS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X96" i="2"/>
  <c r="AT96" i="2"/>
  <c r="AA96" i="2"/>
  <c r="DL95" i="2"/>
  <c r="DK95" i="2"/>
  <c r="DJ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L95" i="2"/>
  <c r="BV95" i="2" s="1"/>
  <c r="BT95" i="2"/>
  <c r="BS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T95" i="2"/>
  <c r="AD95" i="2" s="1"/>
  <c r="G95" i="2"/>
  <c r="DL94" i="2"/>
  <c r="DK94" i="2"/>
  <c r="DJ94" i="2"/>
  <c r="DG94" i="2"/>
  <c r="DF94" i="2"/>
  <c r="DE94" i="2"/>
  <c r="DD94" i="2"/>
  <c r="DC94" i="2"/>
  <c r="DB94" i="2"/>
  <c r="DA94" i="2"/>
  <c r="CZ94" i="2"/>
  <c r="CY94" i="2"/>
  <c r="CX94" i="2"/>
  <c r="CW94" i="2"/>
  <c r="CV94" i="2"/>
  <c r="CU94" i="2"/>
  <c r="CT94" i="2"/>
  <c r="CS94" i="2"/>
  <c r="CL94" i="2"/>
  <c r="DH94" i="2" s="1"/>
  <c r="BT94" i="2"/>
  <c r="BS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T94" i="2"/>
  <c r="BP94" i="2" s="1"/>
  <c r="G94" i="2"/>
  <c r="DL93" i="2"/>
  <c r="DK93" i="2"/>
  <c r="DJ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T93" i="2"/>
  <c r="CS93" i="2"/>
  <c r="CL93" i="2"/>
  <c r="BT93" i="2"/>
  <c r="BS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T93" i="2"/>
  <c r="BP93" i="2" s="1"/>
  <c r="G93" i="2"/>
  <c r="DI91" i="2"/>
  <c r="CO91" i="2"/>
  <c r="CN91" i="2"/>
  <c r="CL91" i="2"/>
  <c r="CK91" i="2"/>
  <c r="CJ91" i="2"/>
  <c r="CG91" i="2"/>
  <c r="CF91" i="2"/>
  <c r="CE91" i="2"/>
  <c r="CD91" i="2"/>
  <c r="CC91" i="2"/>
  <c r="BZ91" i="2"/>
  <c r="BY91" i="2"/>
  <c r="BX91" i="2"/>
  <c r="BW91" i="2"/>
  <c r="BQ91" i="2"/>
  <c r="AW91" i="2"/>
  <c r="AV91" i="2"/>
  <c r="AU91" i="2"/>
  <c r="AT91" i="2"/>
  <c r="AS91" i="2"/>
  <c r="AR91" i="2"/>
  <c r="AO91" i="2"/>
  <c r="AN91" i="2"/>
  <c r="AM91" i="2"/>
  <c r="AL91" i="2"/>
  <c r="AK91" i="2"/>
  <c r="AH91" i="2"/>
  <c r="AG91" i="2"/>
  <c r="AF91" i="2"/>
  <c r="Z91" i="2"/>
  <c r="Y91" i="2"/>
  <c r="X91" i="2"/>
  <c r="W91" i="2"/>
  <c r="V91" i="2"/>
  <c r="U91" i="2"/>
  <c r="S91" i="2"/>
  <c r="R91" i="2"/>
  <c r="Q91" i="2"/>
  <c r="P91" i="2"/>
  <c r="O91" i="2"/>
  <c r="N91" i="2"/>
  <c r="K91" i="2"/>
  <c r="J91" i="2"/>
  <c r="I91" i="2"/>
  <c r="H91" i="2"/>
  <c r="DK90" i="2"/>
  <c r="DJ90" i="2"/>
  <c r="DH90" i="2"/>
  <c r="DG90" i="2"/>
  <c r="DF90" i="2"/>
  <c r="DE90" i="2"/>
  <c r="DD90" i="2"/>
  <c r="DC90" i="2"/>
  <c r="DB90" i="2"/>
  <c r="DA90" i="2"/>
  <c r="CZ90" i="2"/>
  <c r="CY90" i="2"/>
  <c r="CX90" i="2"/>
  <c r="CW90" i="2"/>
  <c r="CV90" i="2"/>
  <c r="CU90" i="2"/>
  <c r="CT90" i="2"/>
  <c r="CS90" i="2"/>
  <c r="CP90" i="2"/>
  <c r="BV90" i="2" s="1"/>
  <c r="BS90" i="2"/>
  <c r="BR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X90" i="2"/>
  <c r="AD90" i="2"/>
  <c r="AA90" i="2"/>
  <c r="G90" i="2" s="1"/>
  <c r="DL89" i="2"/>
  <c r="DK89" i="2"/>
  <c r="DJ89" i="2"/>
  <c r="DH89" i="2"/>
  <c r="DG89" i="2"/>
  <c r="DF89" i="2"/>
  <c r="DD89" i="2"/>
  <c r="DC89" i="2"/>
  <c r="DB89" i="2"/>
  <c r="DA89" i="2"/>
  <c r="CZ89" i="2"/>
  <c r="CY89" i="2"/>
  <c r="CX89" i="2"/>
  <c r="CV89" i="2"/>
  <c r="CU89" i="2"/>
  <c r="CT89" i="2"/>
  <c r="CS89" i="2"/>
  <c r="CI89" i="2"/>
  <c r="DE89" i="2" s="1"/>
  <c r="CA89" i="2"/>
  <c r="CW89" i="2" s="1"/>
  <c r="BT89" i="2"/>
  <c r="BS89" i="2"/>
  <c r="BR89" i="2"/>
  <c r="BP89" i="2"/>
  <c r="BO89" i="2"/>
  <c r="BN89" i="2"/>
  <c r="BL89" i="2"/>
  <c r="BK89" i="2"/>
  <c r="BJ89" i="2"/>
  <c r="BI89" i="2"/>
  <c r="BH89" i="2"/>
  <c r="BG89" i="2"/>
  <c r="BF89" i="2"/>
  <c r="BD89" i="2"/>
  <c r="BC89" i="2"/>
  <c r="BB89" i="2"/>
  <c r="BA89" i="2"/>
  <c r="AQ89" i="2"/>
  <c r="BM89" i="2" s="1"/>
  <c r="AI89" i="2"/>
  <c r="G89" i="2"/>
  <c r="DK88" i="2"/>
  <c r="DJ88" i="2"/>
  <c r="DH88" i="2"/>
  <c r="DG88" i="2"/>
  <c r="DF88" i="2"/>
  <c r="DE88" i="2"/>
  <c r="DD88" i="2"/>
  <c r="DC88" i="2"/>
  <c r="DB88" i="2"/>
  <c r="DA88" i="2"/>
  <c r="CZ88" i="2"/>
  <c r="CY88" i="2"/>
  <c r="CX88" i="2"/>
  <c r="CW88" i="2"/>
  <c r="CV88" i="2"/>
  <c r="CU88" i="2"/>
  <c r="CT88" i="2"/>
  <c r="CS88" i="2"/>
  <c r="BV88" i="2"/>
  <c r="BS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BA88" i="2"/>
  <c r="AD88" i="2"/>
  <c r="AA88" i="2"/>
  <c r="BT88" i="2" s="1"/>
  <c r="DL87" i="2"/>
  <c r="DK87" i="2"/>
  <c r="DJ87" i="2"/>
  <c r="DH87" i="2"/>
  <c r="DG87" i="2"/>
  <c r="DF87" i="2"/>
  <c r="DE87" i="2"/>
  <c r="DD87" i="2"/>
  <c r="DC87" i="2"/>
  <c r="DB87" i="2"/>
  <c r="DA87" i="2"/>
  <c r="CZ87" i="2"/>
  <c r="CY87" i="2"/>
  <c r="CX87" i="2"/>
  <c r="CV87" i="2"/>
  <c r="CU87" i="2"/>
  <c r="CT87" i="2"/>
  <c r="CS87" i="2"/>
  <c r="CA87" i="2"/>
  <c r="BV87" i="2" s="1"/>
  <c r="BT87" i="2"/>
  <c r="BS87" i="2"/>
  <c r="BP87" i="2"/>
  <c r="BO87" i="2"/>
  <c r="BN87" i="2"/>
  <c r="BM87" i="2"/>
  <c r="BL87" i="2"/>
  <c r="BK87" i="2"/>
  <c r="BJ87" i="2"/>
  <c r="BI87" i="2"/>
  <c r="BH87" i="2"/>
  <c r="BG87" i="2"/>
  <c r="BF87" i="2"/>
  <c r="BD87" i="2"/>
  <c r="BC87" i="2"/>
  <c r="BB87" i="2"/>
  <c r="BA87" i="2"/>
  <c r="AI87" i="2"/>
  <c r="BE87" i="2" s="1"/>
  <c r="G87" i="2"/>
  <c r="DL86" i="2"/>
  <c r="DK86" i="2"/>
  <c r="DJ86" i="2"/>
  <c r="DH86" i="2"/>
  <c r="DG86" i="2"/>
  <c r="DF86" i="2"/>
  <c r="DE86" i="2"/>
  <c r="DD86" i="2"/>
  <c r="DC86" i="2"/>
  <c r="DB86" i="2"/>
  <c r="DA86" i="2"/>
  <c r="CZ86" i="2"/>
  <c r="CY86" i="2"/>
  <c r="CX86" i="2"/>
  <c r="CV86" i="2"/>
  <c r="CU86" i="2"/>
  <c r="CT86" i="2"/>
  <c r="CS86" i="2"/>
  <c r="CA86" i="2"/>
  <c r="BV86" i="2" s="1"/>
  <c r="BT86" i="2"/>
  <c r="BS86" i="2"/>
  <c r="BP86" i="2"/>
  <c r="BO86" i="2"/>
  <c r="BN86" i="2"/>
  <c r="BM86" i="2"/>
  <c r="BL86" i="2"/>
  <c r="BK86" i="2"/>
  <c r="BJ86" i="2"/>
  <c r="BI86" i="2"/>
  <c r="BH86" i="2"/>
  <c r="BG86" i="2"/>
  <c r="BF86" i="2"/>
  <c r="BD86" i="2"/>
  <c r="BC86" i="2"/>
  <c r="BB86" i="2"/>
  <c r="BA86" i="2"/>
  <c r="AI86" i="2"/>
  <c r="G86" i="2"/>
  <c r="DL85" i="2"/>
  <c r="DK85" i="2"/>
  <c r="DJ85" i="2"/>
  <c r="DH85" i="2"/>
  <c r="DG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S85" i="2"/>
  <c r="BV85" i="2"/>
  <c r="BT85" i="2"/>
  <c r="BS85" i="2"/>
  <c r="BR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D85" i="2"/>
  <c r="G85" i="2"/>
  <c r="DL84" i="2"/>
  <c r="DK84" i="2"/>
  <c r="DJ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BV84" i="2"/>
  <c r="BT84" i="2"/>
  <c r="BS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D84" i="2"/>
  <c r="G84" i="2"/>
  <c r="DL83" i="2"/>
  <c r="DK83" i="2"/>
  <c r="DJ83" i="2"/>
  <c r="DH83" i="2"/>
  <c r="DG83" i="2"/>
  <c r="DF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I83" i="2"/>
  <c r="BV83" i="2" s="1"/>
  <c r="BT83" i="2"/>
  <c r="BS83" i="2"/>
  <c r="BR83" i="2"/>
  <c r="BP83" i="2"/>
  <c r="BO83" i="2"/>
  <c r="BN83" i="2"/>
  <c r="BL83" i="2"/>
  <c r="BK83" i="2"/>
  <c r="BJ83" i="2"/>
  <c r="BI83" i="2"/>
  <c r="BH83" i="2"/>
  <c r="BG83" i="2"/>
  <c r="BF83" i="2"/>
  <c r="BD83" i="2"/>
  <c r="BC83" i="2"/>
  <c r="BB83" i="2"/>
  <c r="BA83" i="2"/>
  <c r="AQ83" i="2"/>
  <c r="BM83" i="2" s="1"/>
  <c r="AI83" i="2"/>
  <c r="G83" i="2"/>
  <c r="DL82" i="2"/>
  <c r="DK82" i="2"/>
  <c r="DJ82" i="2"/>
  <c r="DH82" i="2"/>
  <c r="DG82" i="2"/>
  <c r="DF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BV82" i="2"/>
  <c r="BT82" i="2"/>
  <c r="BS82" i="2"/>
  <c r="BP82" i="2"/>
  <c r="BO82" i="2"/>
  <c r="BN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D82" i="2"/>
  <c r="T82" i="2"/>
  <c r="BM82" i="2" s="1"/>
  <c r="DL81" i="2"/>
  <c r="DK81" i="2"/>
  <c r="DJ81" i="2"/>
  <c r="DH81" i="2"/>
  <c r="DG81" i="2"/>
  <c r="DF81" i="2"/>
  <c r="DE81" i="2"/>
  <c r="DD81" i="2"/>
  <c r="DC81" i="2"/>
  <c r="DB81" i="2"/>
  <c r="DA81" i="2"/>
  <c r="CZ81" i="2"/>
  <c r="CY81" i="2"/>
  <c r="CX81" i="2"/>
  <c r="CV81" i="2"/>
  <c r="CU81" i="2"/>
  <c r="CT81" i="2"/>
  <c r="CS81" i="2"/>
  <c r="CA81" i="2"/>
  <c r="CW81" i="2" s="1"/>
  <c r="BT81" i="2"/>
  <c r="BS81" i="2"/>
  <c r="BP81" i="2"/>
  <c r="BO81" i="2"/>
  <c r="BN81" i="2"/>
  <c r="BM81" i="2"/>
  <c r="BL81" i="2"/>
  <c r="BK81" i="2"/>
  <c r="BJ81" i="2"/>
  <c r="BI81" i="2"/>
  <c r="BH81" i="2"/>
  <c r="BG81" i="2"/>
  <c r="BF81" i="2"/>
  <c r="BD81" i="2"/>
  <c r="BC81" i="2"/>
  <c r="BB81" i="2"/>
  <c r="BA81" i="2"/>
  <c r="AI81" i="2"/>
  <c r="AD81" i="2" s="1"/>
  <c r="G81" i="2"/>
  <c r="DL80" i="2"/>
  <c r="DK80" i="2"/>
  <c r="DJ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S80" i="2"/>
  <c r="BV80" i="2"/>
  <c r="BT80" i="2"/>
  <c r="BS80" i="2"/>
  <c r="BP80" i="2"/>
  <c r="BO80" i="2"/>
  <c r="BN80" i="2"/>
  <c r="BM80" i="2"/>
  <c r="BL80" i="2"/>
  <c r="BK80" i="2"/>
  <c r="BJ80" i="2"/>
  <c r="BI80" i="2"/>
  <c r="BH80" i="2"/>
  <c r="BG80" i="2"/>
  <c r="BF80" i="2"/>
  <c r="BD80" i="2"/>
  <c r="BC80" i="2"/>
  <c r="BB80" i="2"/>
  <c r="BA80" i="2"/>
  <c r="AI80" i="2"/>
  <c r="BE80" i="2" s="1"/>
  <c r="G80" i="2"/>
  <c r="DL79" i="2"/>
  <c r="DK79" i="2"/>
  <c r="DJ79" i="2"/>
  <c r="DH79" i="2"/>
  <c r="DG79" i="2"/>
  <c r="DF79" i="2"/>
  <c r="DE79" i="2"/>
  <c r="DD79" i="2"/>
  <c r="DC79" i="2"/>
  <c r="DB79" i="2"/>
  <c r="DA79" i="2"/>
  <c r="CZ79" i="2"/>
  <c r="CY79" i="2"/>
  <c r="CX79" i="2"/>
  <c r="CW79" i="2"/>
  <c r="CV79" i="2"/>
  <c r="CU79" i="2"/>
  <c r="CT79" i="2"/>
  <c r="CS79" i="2"/>
  <c r="BV79" i="2"/>
  <c r="BT79" i="2"/>
  <c r="BS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A79" i="2"/>
  <c r="AD79" i="2"/>
  <c r="G79" i="2"/>
  <c r="DL78" i="2"/>
  <c r="DK78" i="2"/>
  <c r="DJ78" i="2"/>
  <c r="DH78" i="2"/>
  <c r="DG78" i="2"/>
  <c r="DF78" i="2"/>
  <c r="DE78" i="2"/>
  <c r="DD78" i="2"/>
  <c r="DC78" i="2"/>
  <c r="DB78" i="2"/>
  <c r="DA78" i="2"/>
  <c r="CZ78" i="2"/>
  <c r="CY78" i="2"/>
  <c r="CX78" i="2"/>
  <c r="CV78" i="2"/>
  <c r="CU78" i="2"/>
  <c r="CT78" i="2"/>
  <c r="CS78" i="2"/>
  <c r="CA78" i="2"/>
  <c r="CW78" i="2" s="1"/>
  <c r="BT78" i="2"/>
  <c r="BS78" i="2"/>
  <c r="BP78" i="2"/>
  <c r="BO78" i="2"/>
  <c r="BN78" i="2"/>
  <c r="BM78" i="2"/>
  <c r="BL78" i="2"/>
  <c r="BK78" i="2"/>
  <c r="BJ78" i="2"/>
  <c r="BI78" i="2"/>
  <c r="BH78" i="2"/>
  <c r="BG78" i="2"/>
  <c r="BF78" i="2"/>
  <c r="BD78" i="2"/>
  <c r="BC78" i="2"/>
  <c r="BB78" i="2"/>
  <c r="BA78" i="2"/>
  <c r="AI78" i="2"/>
  <c r="G78" i="2"/>
  <c r="DL77" i="2"/>
  <c r="DH77" i="2"/>
  <c r="DG77" i="2"/>
  <c r="DF77" i="2"/>
  <c r="DE77" i="2"/>
  <c r="DD77" i="2"/>
  <c r="DC77" i="2"/>
  <c r="CV77" i="2"/>
  <c r="CU77" i="2"/>
  <c r="CT77" i="2"/>
  <c r="CS77" i="2"/>
  <c r="CA77" i="2"/>
  <c r="BT77" i="2"/>
  <c r="BS77" i="2"/>
  <c r="BP77" i="2"/>
  <c r="BO77" i="2"/>
  <c r="BN77" i="2"/>
  <c r="BM77" i="2"/>
  <c r="BL77" i="2"/>
  <c r="BK77" i="2"/>
  <c r="BD77" i="2"/>
  <c r="BC77" i="2"/>
  <c r="BB77" i="2"/>
  <c r="BA77" i="2"/>
  <c r="AI77" i="2"/>
  <c r="BE77" i="2" s="1"/>
  <c r="G77" i="2"/>
  <c r="DL76" i="2"/>
  <c r="DH76" i="2"/>
  <c r="DG76" i="2"/>
  <c r="DF76" i="2"/>
  <c r="DE76" i="2"/>
  <c r="DD76" i="2"/>
  <c r="DC76" i="2"/>
  <c r="CV76" i="2"/>
  <c r="CU76" i="2"/>
  <c r="CT76" i="2"/>
  <c r="CS76" i="2"/>
  <c r="BV76" i="2"/>
  <c r="BT76" i="2"/>
  <c r="BS76" i="2"/>
  <c r="BP76" i="2"/>
  <c r="BO76" i="2"/>
  <c r="BN76" i="2"/>
  <c r="BM76" i="2"/>
  <c r="BL76" i="2"/>
  <c r="BK76" i="2"/>
  <c r="BD76" i="2"/>
  <c r="BC76" i="2"/>
  <c r="BB76" i="2"/>
  <c r="BA76" i="2"/>
  <c r="AI76" i="2"/>
  <c r="AD76" i="2" s="1"/>
  <c r="L76" i="2"/>
  <c r="CW76" i="2" s="1"/>
  <c r="DL75" i="2"/>
  <c r="DH75" i="2"/>
  <c r="DG75" i="2"/>
  <c r="DF75" i="2"/>
  <c r="DE75" i="2"/>
  <c r="DD75" i="2"/>
  <c r="DC75" i="2"/>
  <c r="CW75" i="2"/>
  <c r="CV75" i="2"/>
  <c r="CU75" i="2"/>
  <c r="CT75" i="2"/>
  <c r="CS75" i="2"/>
  <c r="BV75" i="2"/>
  <c r="BT75" i="2"/>
  <c r="BS75" i="2"/>
  <c r="BP75" i="2"/>
  <c r="BO75" i="2"/>
  <c r="BM75" i="2"/>
  <c r="BL75" i="2"/>
  <c r="BK75" i="2"/>
  <c r="BE75" i="2"/>
  <c r="BD75" i="2"/>
  <c r="BC75" i="2"/>
  <c r="BB75" i="2"/>
  <c r="BA75" i="2"/>
  <c r="AD75" i="2"/>
  <c r="G75" i="2"/>
  <c r="DL74" i="2"/>
  <c r="DH74" i="2"/>
  <c r="DG74" i="2"/>
  <c r="DF74" i="2"/>
  <c r="DE74" i="2"/>
  <c r="DD74" i="2"/>
  <c r="DC74" i="2"/>
  <c r="CW74" i="2"/>
  <c r="CV74" i="2"/>
  <c r="CU74" i="2"/>
  <c r="CT74" i="2"/>
  <c r="CS74" i="2"/>
  <c r="BV74" i="2"/>
  <c r="BT74" i="2"/>
  <c r="BS74" i="2"/>
  <c r="BP74" i="2"/>
  <c r="BO74" i="2"/>
  <c r="BM74" i="2"/>
  <c r="BL74" i="2"/>
  <c r="BK74" i="2"/>
  <c r="BE74" i="2"/>
  <c r="BD74" i="2"/>
  <c r="BC74" i="2"/>
  <c r="BB74" i="2"/>
  <c r="BA74" i="2"/>
  <c r="AD74" i="2"/>
  <c r="G74" i="2"/>
  <c r="DK73" i="2"/>
  <c r="DJ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U73" i="2"/>
  <c r="CT73" i="2"/>
  <c r="CS73" i="2"/>
  <c r="CP73" i="2"/>
  <c r="BV73" i="2" s="1"/>
  <c r="BS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X73" i="2"/>
  <c r="AD73" i="2" s="1"/>
  <c r="AA73" i="2"/>
  <c r="G73" i="2" s="1"/>
  <c r="DL72" i="2"/>
  <c r="DK72" i="2"/>
  <c r="DJ72" i="2"/>
  <c r="DH72" i="2"/>
  <c r="DG72" i="2"/>
  <c r="DF72" i="2"/>
  <c r="DE72" i="2"/>
  <c r="DD72" i="2"/>
  <c r="DC72" i="2"/>
  <c r="DB72" i="2"/>
  <c r="DA72" i="2"/>
  <c r="CZ72" i="2"/>
  <c r="CY72" i="2"/>
  <c r="CX72" i="2"/>
  <c r="CV72" i="2"/>
  <c r="CU72" i="2"/>
  <c r="CT72" i="2"/>
  <c r="CS72" i="2"/>
  <c r="CA72" i="2"/>
  <c r="BV72" i="2" s="1"/>
  <c r="BT72" i="2"/>
  <c r="BS72" i="2"/>
  <c r="BP72" i="2"/>
  <c r="BO72" i="2"/>
  <c r="BN72" i="2"/>
  <c r="BM72" i="2"/>
  <c r="BL72" i="2"/>
  <c r="BK72" i="2"/>
  <c r="BJ72" i="2"/>
  <c r="BI72" i="2"/>
  <c r="BH72" i="2"/>
  <c r="BG72" i="2"/>
  <c r="BF72" i="2"/>
  <c r="BD72" i="2"/>
  <c r="BC72" i="2"/>
  <c r="BB72" i="2"/>
  <c r="BA72" i="2"/>
  <c r="AI72" i="2"/>
  <c r="G72" i="2"/>
  <c r="DL71" i="2"/>
  <c r="DK71" i="2"/>
  <c r="DJ71" i="2"/>
  <c r="DH71" i="2"/>
  <c r="DG71" i="2"/>
  <c r="DF71" i="2"/>
  <c r="DE71" i="2"/>
  <c r="DD71" i="2"/>
  <c r="DC71" i="2"/>
  <c r="DB71" i="2"/>
  <c r="DA71" i="2"/>
  <c r="CZ71" i="2"/>
  <c r="CY71" i="2"/>
  <c r="CX71" i="2"/>
  <c r="CV71" i="2"/>
  <c r="CU71" i="2"/>
  <c r="CT71" i="2"/>
  <c r="CS71" i="2"/>
  <c r="BV71" i="2"/>
  <c r="BT71" i="2"/>
  <c r="BS71" i="2"/>
  <c r="BP71" i="2"/>
  <c r="BO71" i="2"/>
  <c r="BN71" i="2"/>
  <c r="BM71" i="2"/>
  <c r="BL71" i="2"/>
  <c r="BK71" i="2"/>
  <c r="BJ71" i="2"/>
  <c r="BI71" i="2"/>
  <c r="BH71" i="2"/>
  <c r="BG71" i="2"/>
  <c r="BF71" i="2"/>
  <c r="BD71" i="2"/>
  <c r="BC71" i="2"/>
  <c r="BB71" i="2"/>
  <c r="BA71" i="2"/>
  <c r="AD71" i="2"/>
  <c r="L71" i="2"/>
  <c r="DL70" i="2"/>
  <c r="DK70" i="2"/>
  <c r="DJ70" i="2"/>
  <c r="DH70" i="2"/>
  <c r="DG70" i="2"/>
  <c r="DF70" i="2"/>
  <c r="DE70" i="2"/>
  <c r="DD70" i="2"/>
  <c r="DC70" i="2"/>
  <c r="DB70" i="2"/>
  <c r="DA70" i="2"/>
  <c r="CZ70" i="2"/>
  <c r="CY70" i="2"/>
  <c r="CX70" i="2"/>
  <c r="CV70" i="2"/>
  <c r="CU70" i="2"/>
  <c r="CT70" i="2"/>
  <c r="CS70" i="2"/>
  <c r="CA70" i="2"/>
  <c r="BV70" i="2" s="1"/>
  <c r="BT70" i="2"/>
  <c r="BS70" i="2"/>
  <c r="BR70" i="2"/>
  <c r="BP70" i="2"/>
  <c r="BO70" i="2"/>
  <c r="BN70" i="2"/>
  <c r="BM70" i="2"/>
  <c r="BL70" i="2"/>
  <c r="BK70" i="2"/>
  <c r="BJ70" i="2"/>
  <c r="BI70" i="2"/>
  <c r="BH70" i="2"/>
  <c r="BG70" i="2"/>
  <c r="BF70" i="2"/>
  <c r="BD70" i="2"/>
  <c r="BC70" i="2"/>
  <c r="BB70" i="2"/>
  <c r="BA70" i="2"/>
  <c r="AI70" i="2"/>
  <c r="AD70" i="2" s="1"/>
  <c r="G70" i="2"/>
  <c r="DL69" i="2"/>
  <c r="DK69" i="2"/>
  <c r="DJ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BV69" i="2"/>
  <c r="BT69" i="2"/>
  <c r="BS69" i="2"/>
  <c r="BR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D69" i="2"/>
  <c r="G69" i="2"/>
  <c r="DK68" i="2"/>
  <c r="DJ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P68" i="2"/>
  <c r="BV68" i="2" s="1"/>
  <c r="BS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X68" i="2"/>
  <c r="AD68" i="2" s="1"/>
  <c r="AA68" i="2"/>
  <c r="DL67" i="2"/>
  <c r="DK67" i="2"/>
  <c r="DJ67" i="2"/>
  <c r="DH67" i="2"/>
  <c r="DG67" i="2"/>
  <c r="DF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BV67" i="2"/>
  <c r="BT67" i="2"/>
  <c r="BS67" i="2"/>
  <c r="BR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D67" i="2"/>
  <c r="G67" i="2"/>
  <c r="DK66" i="2"/>
  <c r="DJ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S66" i="2"/>
  <c r="CP66" i="2"/>
  <c r="DL66" i="2" s="1"/>
  <c r="BS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X66" i="2"/>
  <c r="BT66" i="2" s="1"/>
  <c r="G66" i="2"/>
  <c r="DK65" i="2"/>
  <c r="DJ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P65" i="2"/>
  <c r="BV65" i="2" s="1"/>
  <c r="BS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X65" i="2"/>
  <c r="AD65" i="2" s="1"/>
  <c r="AA65" i="2"/>
  <c r="DL64" i="2"/>
  <c r="DK64" i="2"/>
  <c r="DJ64" i="2"/>
  <c r="DH64" i="2"/>
  <c r="DG64" i="2"/>
  <c r="DF64" i="2"/>
  <c r="DE64" i="2"/>
  <c r="DC64" i="2"/>
  <c r="DB64" i="2"/>
  <c r="DA64" i="2"/>
  <c r="CZ64" i="2"/>
  <c r="CY64" i="2"/>
  <c r="CX64" i="2"/>
  <c r="CV64" i="2"/>
  <c r="CU64" i="2"/>
  <c r="CT64" i="2"/>
  <c r="CS64" i="2"/>
  <c r="CH64" i="2"/>
  <c r="CH137" i="2" s="1"/>
  <c r="CA64" i="2"/>
  <c r="BT64" i="2"/>
  <c r="BS64" i="2"/>
  <c r="BP64" i="2"/>
  <c r="BO64" i="2"/>
  <c r="BN64" i="2"/>
  <c r="BM64" i="2"/>
  <c r="BK64" i="2"/>
  <c r="BJ64" i="2"/>
  <c r="BI64" i="2"/>
  <c r="BH64" i="2"/>
  <c r="BG64" i="2"/>
  <c r="BF64" i="2"/>
  <c r="BD64" i="2"/>
  <c r="BC64" i="2"/>
  <c r="BB64" i="2"/>
  <c r="BA64" i="2"/>
  <c r="AP64" i="2"/>
  <c r="AP137" i="2" s="1"/>
  <c r="AI64" i="2"/>
  <c r="L64" i="2"/>
  <c r="G64" i="2" s="1"/>
  <c r="DL63" i="2"/>
  <c r="DK63" i="2"/>
  <c r="DJ63" i="2"/>
  <c r="DH63" i="2"/>
  <c r="DG63" i="2"/>
  <c r="DF63" i="2"/>
  <c r="DE63" i="2"/>
  <c r="DD63" i="2"/>
  <c r="DC63" i="2"/>
  <c r="DB63" i="2"/>
  <c r="DA63" i="2"/>
  <c r="CZ63" i="2"/>
  <c r="CY63" i="2"/>
  <c r="CX63" i="2"/>
  <c r="CV63" i="2"/>
  <c r="CU63" i="2"/>
  <c r="CT63" i="2"/>
  <c r="CS63" i="2"/>
  <c r="CA63" i="2"/>
  <c r="BT63" i="2"/>
  <c r="BS63" i="2"/>
  <c r="BP63" i="2"/>
  <c r="BO63" i="2"/>
  <c r="BN63" i="2"/>
  <c r="BM63" i="2"/>
  <c r="BL63" i="2"/>
  <c r="BK63" i="2"/>
  <c r="BJ63" i="2"/>
  <c r="BI63" i="2"/>
  <c r="BH63" i="2"/>
  <c r="BG63" i="2"/>
  <c r="BF63" i="2"/>
  <c r="BD63" i="2"/>
  <c r="BC63" i="2"/>
  <c r="BB63" i="2"/>
  <c r="BA63" i="2"/>
  <c r="AI63" i="2"/>
  <c r="AD63" i="2" s="1"/>
  <c r="L63" i="2"/>
  <c r="DL62" i="2"/>
  <c r="DK62" i="2"/>
  <c r="DJ62" i="2"/>
  <c r="DH62" i="2"/>
  <c r="DG62" i="2"/>
  <c r="DF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I62" i="2"/>
  <c r="BT62" i="2"/>
  <c r="BS62" i="2"/>
  <c r="BR62" i="2"/>
  <c r="BP62" i="2"/>
  <c r="BO62" i="2"/>
  <c r="BN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Q62" i="2"/>
  <c r="G62" i="2"/>
  <c r="DK61" i="2"/>
  <c r="DJ61" i="2"/>
  <c r="DH61" i="2"/>
  <c r="DG61" i="2"/>
  <c r="DF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P61" i="2"/>
  <c r="BS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X61" i="2"/>
  <c r="BT61" i="2" s="1"/>
  <c r="G61" i="2"/>
  <c r="DK60" i="2"/>
  <c r="DJ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P60" i="2"/>
  <c r="DL60" i="2" s="1"/>
  <c r="BV60" i="2"/>
  <c r="BS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X60" i="2"/>
  <c r="BT60" i="2" s="1"/>
  <c r="G60" i="2"/>
  <c r="DK59" i="2"/>
  <c r="DJ59" i="2"/>
  <c r="DH59" i="2"/>
  <c r="DG59" i="2"/>
  <c r="DF59" i="2"/>
  <c r="DE59" i="2"/>
  <c r="DD59" i="2"/>
  <c r="DC59" i="2"/>
  <c r="DB59" i="2"/>
  <c r="DA59" i="2"/>
  <c r="CZ59" i="2"/>
  <c r="CY59" i="2"/>
  <c r="CW59" i="2"/>
  <c r="CV59" i="2"/>
  <c r="CU59" i="2"/>
  <c r="CT59" i="2"/>
  <c r="CS59" i="2"/>
  <c r="CP59" i="2"/>
  <c r="CB59" i="2"/>
  <c r="CB137" i="2" s="1"/>
  <c r="BS59" i="2"/>
  <c r="BP59" i="2"/>
  <c r="BO59" i="2"/>
  <c r="BN59" i="2"/>
  <c r="BM59" i="2"/>
  <c r="BL59" i="2"/>
  <c r="BK59" i="2"/>
  <c r="BJ59" i="2"/>
  <c r="BI59" i="2"/>
  <c r="BH59" i="2"/>
  <c r="BG59" i="2"/>
  <c r="BE59" i="2"/>
  <c r="BD59" i="2"/>
  <c r="BC59" i="2"/>
  <c r="BB59" i="2"/>
  <c r="BA59" i="2"/>
  <c r="AX59" i="2"/>
  <c r="AJ59" i="2"/>
  <c r="AJ137" i="2" s="1"/>
  <c r="AA59" i="2"/>
  <c r="M59" i="2"/>
  <c r="CN58" i="2"/>
  <c r="CM58" i="2"/>
  <c r="CM130" i="2" s="1"/>
  <c r="CL58" i="2"/>
  <c r="CJ58" i="2"/>
  <c r="CG58" i="2"/>
  <c r="CF58" i="2"/>
  <c r="CE58" i="2"/>
  <c r="CD58" i="2"/>
  <c r="CC58" i="2"/>
  <c r="CB58" i="2"/>
  <c r="CA58" i="2"/>
  <c r="BZ58" i="2"/>
  <c r="BX58" i="2"/>
  <c r="BW58" i="2"/>
  <c r="AV58" i="2"/>
  <c r="AU58" i="2"/>
  <c r="AT58" i="2"/>
  <c r="AR58" i="2"/>
  <c r="AO58" i="2"/>
  <c r="AN58" i="2"/>
  <c r="AM58" i="2"/>
  <c r="AL58" i="2"/>
  <c r="AK58" i="2"/>
  <c r="AJ58" i="2"/>
  <c r="AI58" i="2"/>
  <c r="AH58" i="2"/>
  <c r="AF58" i="2"/>
  <c r="Y58" i="2"/>
  <c r="X58" i="2"/>
  <c r="W58" i="2"/>
  <c r="U58" i="2"/>
  <c r="T58" i="2"/>
  <c r="R58" i="2"/>
  <c r="Q58" i="2"/>
  <c r="P58" i="2"/>
  <c r="O58" i="2"/>
  <c r="N58" i="2"/>
  <c r="L58" i="2"/>
  <c r="K58" i="2"/>
  <c r="I58" i="2"/>
  <c r="H58" i="2"/>
  <c r="DK57" i="2"/>
  <c r="DJ57" i="2"/>
  <c r="DH57" i="2"/>
  <c r="DG57" i="2"/>
  <c r="DF57" i="2"/>
  <c r="DE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P57" i="2"/>
  <c r="BS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X57" i="2"/>
  <c r="AD57" i="2" s="1"/>
  <c r="AA57" i="2"/>
  <c r="G57" i="2" s="1"/>
  <c r="DL56" i="2"/>
  <c r="DK56" i="2"/>
  <c r="DJ56" i="2"/>
  <c r="DH56" i="2"/>
  <c r="DF56" i="2"/>
  <c r="DE56" i="2"/>
  <c r="DD56" i="2"/>
  <c r="DC56" i="2"/>
  <c r="DB56" i="2"/>
  <c r="DA56" i="2"/>
  <c r="CZ56" i="2"/>
  <c r="CY56" i="2"/>
  <c r="CW56" i="2"/>
  <c r="CV56" i="2"/>
  <c r="CU56" i="2"/>
  <c r="CT56" i="2"/>
  <c r="CS56" i="2"/>
  <c r="CK56" i="2"/>
  <c r="BV56" i="2" s="1"/>
  <c r="BT56" i="2"/>
  <c r="BS56" i="2"/>
  <c r="BP56" i="2"/>
  <c r="BN56" i="2"/>
  <c r="BM56" i="2"/>
  <c r="BL56" i="2"/>
  <c r="BK56" i="2"/>
  <c r="BJ56" i="2"/>
  <c r="BI56" i="2"/>
  <c r="BH56" i="2"/>
  <c r="BG56" i="2"/>
  <c r="BE56" i="2"/>
  <c r="BD56" i="2"/>
  <c r="BC56" i="2"/>
  <c r="BB56" i="2"/>
  <c r="BA56" i="2"/>
  <c r="AS56" i="2"/>
  <c r="BO56" i="2" s="1"/>
  <c r="M56" i="2"/>
  <c r="CX56" i="2" s="1"/>
  <c r="DL55" i="2"/>
  <c r="DK55" i="2"/>
  <c r="DJ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U55" i="2"/>
  <c r="CT55" i="2"/>
  <c r="CS55" i="2"/>
  <c r="BV55" i="2"/>
  <c r="BT55" i="2"/>
  <c r="BS55" i="2"/>
  <c r="BP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S55" i="2"/>
  <c r="BO55" i="2" s="1"/>
  <c r="G55" i="2"/>
  <c r="DL54" i="2"/>
  <c r="DK54" i="2"/>
  <c r="DJ54" i="2"/>
  <c r="DH54" i="2"/>
  <c r="DF54" i="2"/>
  <c r="DE54" i="2"/>
  <c r="DD54" i="2"/>
  <c r="DC54" i="2"/>
  <c r="DB54" i="2"/>
  <c r="DA54" i="2"/>
  <c r="CZ54" i="2"/>
  <c r="CY54" i="2"/>
  <c r="CX54" i="2"/>
  <c r="CW54" i="2"/>
  <c r="CV54" i="2"/>
  <c r="CT54" i="2"/>
  <c r="CS54" i="2"/>
  <c r="CK54" i="2"/>
  <c r="BY54" i="2"/>
  <c r="BT54" i="2"/>
  <c r="BS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B54" i="2"/>
  <c r="BA54" i="2"/>
  <c r="AG54" i="2"/>
  <c r="AD54" i="2" s="1"/>
  <c r="J54" i="2"/>
  <c r="DL53" i="2"/>
  <c r="DK53" i="2"/>
  <c r="DJ53" i="2"/>
  <c r="DH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K53" i="2"/>
  <c r="BV53" i="2" s="1"/>
  <c r="BT53" i="2"/>
  <c r="BS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D53" i="2"/>
  <c r="G53" i="2"/>
  <c r="DK52" i="2"/>
  <c r="DJ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T52" i="2"/>
  <c r="CS52" i="2"/>
  <c r="BY52" i="2"/>
  <c r="CU52" i="2" s="1"/>
  <c r="BS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D52" i="2"/>
  <c r="AA52" i="2"/>
  <c r="DL52" i="2" s="1"/>
  <c r="G52" i="2"/>
  <c r="DK51" i="2"/>
  <c r="DJ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P51" i="2"/>
  <c r="BS51" i="2"/>
  <c r="BP51" i="2"/>
  <c r="BO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X51" i="2"/>
  <c r="AD51" i="2" s="1"/>
  <c r="G51" i="2"/>
  <c r="DL50" i="2"/>
  <c r="DK50" i="2"/>
  <c r="DJ50" i="2"/>
  <c r="DH50" i="2"/>
  <c r="DF50" i="2"/>
  <c r="DE50" i="2"/>
  <c r="DD50" i="2"/>
  <c r="DC50" i="2"/>
  <c r="DB50" i="2"/>
  <c r="DA50" i="2"/>
  <c r="CZ50" i="2"/>
  <c r="CY50" i="2"/>
  <c r="CX50" i="2"/>
  <c r="CW50" i="2"/>
  <c r="CV50" i="2"/>
  <c r="CT50" i="2"/>
  <c r="CS50" i="2"/>
  <c r="CK50" i="2"/>
  <c r="BV50" i="2" s="1"/>
  <c r="BT50" i="2"/>
  <c r="BS50" i="2"/>
  <c r="BP50" i="2"/>
  <c r="BN50" i="2"/>
  <c r="BM50" i="2"/>
  <c r="BL50" i="2"/>
  <c r="BK50" i="2"/>
  <c r="BJ50" i="2"/>
  <c r="BI50" i="2"/>
  <c r="BH50" i="2"/>
  <c r="BG50" i="2"/>
  <c r="BF50" i="2"/>
  <c r="BE50" i="2"/>
  <c r="BD50" i="2"/>
  <c r="BB50" i="2"/>
  <c r="BA50" i="2"/>
  <c r="AS50" i="2"/>
  <c r="AD50" i="2" s="1"/>
  <c r="V50" i="2"/>
  <c r="J50" i="2"/>
  <c r="BC50" i="2" s="1"/>
  <c r="DL49" i="2"/>
  <c r="DK49" i="2"/>
  <c r="DJ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T49" i="2"/>
  <c r="CS49" i="2"/>
  <c r="BY49" i="2"/>
  <c r="CU49" i="2" s="1"/>
  <c r="BT49" i="2"/>
  <c r="BS49" i="2"/>
  <c r="BP49" i="2"/>
  <c r="BO49" i="2"/>
  <c r="BM49" i="2"/>
  <c r="BL49" i="2"/>
  <c r="BK49" i="2"/>
  <c r="BJ49" i="2"/>
  <c r="BI49" i="2"/>
  <c r="BH49" i="2"/>
  <c r="BG49" i="2"/>
  <c r="BF49" i="2"/>
  <c r="BE49" i="2"/>
  <c r="BD49" i="2"/>
  <c r="BB49" i="2"/>
  <c r="BA49" i="2"/>
  <c r="AG49" i="2"/>
  <c r="G49" i="2"/>
  <c r="DL48" i="2"/>
  <c r="DJ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T48" i="2"/>
  <c r="CS48" i="2"/>
  <c r="CO48" i="2"/>
  <c r="DK48" i="2" s="1"/>
  <c r="BY48" i="2"/>
  <c r="BT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B48" i="2"/>
  <c r="BA48" i="2"/>
  <c r="AW48" i="2"/>
  <c r="AW58" i="2" s="1"/>
  <c r="AG48" i="2"/>
  <c r="BC48" i="2" s="1"/>
  <c r="G48" i="2"/>
  <c r="DK47" i="2"/>
  <c r="DJ47" i="2"/>
  <c r="DH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K47" i="2"/>
  <c r="DG47" i="2" s="1"/>
  <c r="BV47" i="2"/>
  <c r="BS47" i="2"/>
  <c r="BP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S47" i="2"/>
  <c r="AD47" i="2" s="1"/>
  <c r="AA47" i="2"/>
  <c r="BT47" i="2" s="1"/>
  <c r="DL46" i="2"/>
  <c r="DK46" i="2"/>
  <c r="DJ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S46" i="2"/>
  <c r="BV46" i="2"/>
  <c r="BT46" i="2"/>
  <c r="BS46" i="2"/>
  <c r="BP46" i="2"/>
  <c r="BO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D46" i="2"/>
  <c r="G46" i="2"/>
  <c r="AC46" i="2" s="1"/>
  <c r="AY46" i="2" s="1"/>
  <c r="DL45" i="2"/>
  <c r="DK45" i="2"/>
  <c r="DJ45" i="2"/>
  <c r="DH45" i="2"/>
  <c r="DF45" i="2"/>
  <c r="DE45" i="2"/>
  <c r="DD45" i="2"/>
  <c r="DC45" i="2"/>
  <c r="DB45" i="2"/>
  <c r="DA45" i="2"/>
  <c r="CZ45" i="2"/>
  <c r="CY45" i="2"/>
  <c r="CX45" i="2"/>
  <c r="CW45" i="2"/>
  <c r="CV45" i="2"/>
  <c r="CU45" i="2"/>
  <c r="CT45" i="2"/>
  <c r="CS45" i="2"/>
  <c r="CK45" i="2"/>
  <c r="DG45" i="2" s="1"/>
  <c r="BT45" i="2"/>
  <c r="BS45" i="2"/>
  <c r="BP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S45" i="2"/>
  <c r="G45" i="2"/>
  <c r="DL44" i="2"/>
  <c r="DK44" i="2"/>
  <c r="DJ44" i="2"/>
  <c r="DH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K44" i="2"/>
  <c r="BT44" i="2"/>
  <c r="BS44" i="2"/>
  <c r="BR44" i="2"/>
  <c r="BP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S44" i="2"/>
  <c r="AD44" i="2" s="1"/>
  <c r="G44" i="2"/>
  <c r="DL43" i="2"/>
  <c r="DK43" i="2"/>
  <c r="DJ43" i="2"/>
  <c r="DH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S43" i="2"/>
  <c r="CK43" i="2"/>
  <c r="BV43" i="2" s="1"/>
  <c r="BT43" i="2"/>
  <c r="BS43" i="2"/>
  <c r="BP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S43" i="2"/>
  <c r="AD43" i="2" s="1"/>
  <c r="V43" i="2"/>
  <c r="G43" i="2" s="1"/>
  <c r="DL42" i="2"/>
  <c r="DK42" i="2"/>
  <c r="DJ42" i="2"/>
  <c r="DH42" i="2"/>
  <c r="DF42" i="2"/>
  <c r="DE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K42" i="2"/>
  <c r="BV42" i="2" s="1"/>
  <c r="BT42" i="2"/>
  <c r="BS42" i="2"/>
  <c r="BR42" i="2"/>
  <c r="BP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S42" i="2"/>
  <c r="AD42" i="2" s="1"/>
  <c r="V42" i="2"/>
  <c r="DL41" i="2"/>
  <c r="DK41" i="2"/>
  <c r="DJ41" i="2"/>
  <c r="DH41" i="2"/>
  <c r="DG41" i="2"/>
  <c r="DF41" i="2"/>
  <c r="DE41" i="2"/>
  <c r="DC41" i="2"/>
  <c r="DB41" i="2"/>
  <c r="DA41" i="2"/>
  <c r="CZ41" i="2"/>
  <c r="CY41" i="2"/>
  <c r="CX41" i="2"/>
  <c r="CW41" i="2"/>
  <c r="CV41" i="2"/>
  <c r="CU41" i="2"/>
  <c r="CT41" i="2"/>
  <c r="CS41" i="2"/>
  <c r="CH41" i="2"/>
  <c r="BV41" i="2" s="1"/>
  <c r="BT41" i="2"/>
  <c r="BS41" i="2"/>
  <c r="BR41" i="2"/>
  <c r="BP41" i="2"/>
  <c r="BO41" i="2"/>
  <c r="BN41" i="2"/>
  <c r="BM41" i="2"/>
  <c r="BK41" i="2"/>
  <c r="BJ41" i="2"/>
  <c r="BI41" i="2"/>
  <c r="BH41" i="2"/>
  <c r="BG41" i="2"/>
  <c r="BF41" i="2"/>
  <c r="BE41" i="2"/>
  <c r="BD41" i="2"/>
  <c r="BC41" i="2"/>
  <c r="BB41" i="2"/>
  <c r="BA41" i="2"/>
  <c r="AP41" i="2"/>
  <c r="AD41" i="2" s="1"/>
  <c r="S41" i="2"/>
  <c r="DL40" i="2"/>
  <c r="DK40" i="2"/>
  <c r="DJ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BV40" i="2"/>
  <c r="BS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D40" i="2"/>
  <c r="AA40" i="2"/>
  <c r="G40" i="2" s="1"/>
  <c r="DL39" i="2"/>
  <c r="DJ39" i="2"/>
  <c r="DH39" i="2"/>
  <c r="DG39" i="2"/>
  <c r="DF39" i="2"/>
  <c r="DD39" i="2"/>
  <c r="DC39" i="2"/>
  <c r="DB39" i="2"/>
  <c r="DA39" i="2"/>
  <c r="CZ39" i="2"/>
  <c r="CY39" i="2"/>
  <c r="CX39" i="2"/>
  <c r="CW39" i="2"/>
  <c r="CV39" i="2"/>
  <c r="CU39" i="2"/>
  <c r="CT39" i="2"/>
  <c r="CS39" i="2"/>
  <c r="CO39" i="2"/>
  <c r="CI39" i="2"/>
  <c r="BT39" i="2"/>
  <c r="BP39" i="2"/>
  <c r="BO39" i="2"/>
  <c r="BN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W39" i="2"/>
  <c r="AQ39" i="2"/>
  <c r="AD39" i="2" s="1"/>
  <c r="Z39" i="2"/>
  <c r="DK38" i="2"/>
  <c r="DJ38" i="2"/>
  <c r="DH38" i="2"/>
  <c r="DF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P38" i="2"/>
  <c r="CI38" i="2"/>
  <c r="BS38" i="2"/>
  <c r="BP38" i="2"/>
  <c r="BN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X38" i="2"/>
  <c r="AS38" i="2"/>
  <c r="BO38" i="2" s="1"/>
  <c r="AQ38" i="2"/>
  <c r="AA38" i="2"/>
  <c r="DL37" i="2"/>
  <c r="DK37" i="2"/>
  <c r="DJ37" i="2"/>
  <c r="DH37" i="2"/>
  <c r="DG37" i="2"/>
  <c r="DF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I37" i="2"/>
  <c r="BT37" i="2"/>
  <c r="BS37" i="2"/>
  <c r="BP37" i="2"/>
  <c r="BO37" i="2"/>
  <c r="BN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Q37" i="2"/>
  <c r="G37" i="2"/>
  <c r="DL36" i="2"/>
  <c r="DK36" i="2"/>
  <c r="DJ36" i="2"/>
  <c r="DH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S36" i="2"/>
  <c r="CK36" i="2"/>
  <c r="BT36" i="2"/>
  <c r="BS36" i="2"/>
  <c r="BR36" i="2"/>
  <c r="BP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S36" i="2"/>
  <c r="BO36" i="2" s="1"/>
  <c r="G36" i="2"/>
  <c r="DL35" i="2"/>
  <c r="DK35" i="2"/>
  <c r="DJ35" i="2"/>
  <c r="DH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K35" i="2"/>
  <c r="BV35" i="2" s="1"/>
  <c r="BT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D35" i="2"/>
  <c r="G35" i="2"/>
  <c r="DL34" i="2"/>
  <c r="DK34" i="2"/>
  <c r="DJ34" i="2"/>
  <c r="DH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S34" i="2"/>
  <c r="CK34" i="2"/>
  <c r="DG34" i="2" s="1"/>
  <c r="BT34" i="2"/>
  <c r="BP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S34" i="2"/>
  <c r="BO34" i="2" s="1"/>
  <c r="G34" i="2"/>
  <c r="DL33" i="2"/>
  <c r="DK33" i="2"/>
  <c r="DJ33" i="2"/>
  <c r="DH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K33" i="2"/>
  <c r="BV33" i="2" s="1"/>
  <c r="BT33" i="2"/>
  <c r="BP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S33" i="2"/>
  <c r="BO33" i="2" s="1"/>
  <c r="G33" i="2"/>
  <c r="DL32" i="2"/>
  <c r="DK32" i="2"/>
  <c r="DJ32" i="2"/>
  <c r="DI32" i="2"/>
  <c r="DH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K32" i="2"/>
  <c r="DG32" i="2" s="1"/>
  <c r="BT32" i="2"/>
  <c r="BQ32" i="2"/>
  <c r="BQ135" i="2" s="1"/>
  <c r="BP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S32" i="2"/>
  <c r="BO32" i="2" s="1"/>
  <c r="G32" i="2"/>
  <c r="DK31" i="2"/>
  <c r="DJ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P31" i="2"/>
  <c r="BV31" i="2" s="1"/>
  <c r="BP31" i="2"/>
  <c r="BO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X31" i="2"/>
  <c r="BT31" i="2" s="1"/>
  <c r="G31" i="2"/>
  <c r="DK30" i="2"/>
  <c r="DJ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P30" i="2"/>
  <c r="BV30" i="2" s="1"/>
  <c r="BP30" i="2"/>
  <c r="BO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X30" i="2"/>
  <c r="AD30" i="2" s="1"/>
  <c r="AA30" i="2"/>
  <c r="G30" i="2" s="1"/>
  <c r="DL29" i="2"/>
  <c r="DK29" i="2"/>
  <c r="DJ29" i="2"/>
  <c r="DH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K29" i="2"/>
  <c r="BV29" i="2" s="1"/>
  <c r="BT29" i="2"/>
  <c r="BP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S29" i="2"/>
  <c r="BO29" i="2" s="1"/>
  <c r="G29" i="2"/>
  <c r="DL28" i="2"/>
  <c r="DK28" i="2"/>
  <c r="DJ28" i="2"/>
  <c r="DH28" i="2"/>
  <c r="DF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K28" i="2"/>
  <c r="DG28" i="2" s="1"/>
  <c r="BT28" i="2"/>
  <c r="BP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S28" i="2"/>
  <c r="AD28" i="2" s="1"/>
  <c r="G28" i="2"/>
  <c r="DL27" i="2"/>
  <c r="DK27" i="2"/>
  <c r="DJ27" i="2"/>
  <c r="DH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T27" i="2"/>
  <c r="CS27" i="2"/>
  <c r="CK27" i="2"/>
  <c r="BV27" i="2" s="1"/>
  <c r="BT27" i="2"/>
  <c r="BP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S27" i="2"/>
  <c r="AD27" i="2" s="1"/>
  <c r="V27" i="2"/>
  <c r="DG27" i="2" s="1"/>
  <c r="DL26" i="2"/>
  <c r="DK26" i="2"/>
  <c r="DJ26" i="2"/>
  <c r="DH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T26" i="2"/>
  <c r="CS26" i="2"/>
  <c r="BV26" i="2"/>
  <c r="BT26" i="2"/>
  <c r="BP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D26" i="2"/>
  <c r="V26" i="2"/>
  <c r="DL25" i="2"/>
  <c r="DK25" i="2"/>
  <c r="DJ25" i="2"/>
  <c r="DH25" i="2"/>
  <c r="DF25" i="2"/>
  <c r="DE25" i="2"/>
  <c r="DD25" i="2"/>
  <c r="DC25" i="2"/>
  <c r="DB25" i="2"/>
  <c r="DA25" i="2"/>
  <c r="CZ25" i="2"/>
  <c r="CY25" i="2"/>
  <c r="CX25" i="2"/>
  <c r="CW25" i="2"/>
  <c r="CV25" i="2"/>
  <c r="CU25" i="2"/>
  <c r="CT25" i="2"/>
  <c r="CS25" i="2"/>
  <c r="CK25" i="2"/>
  <c r="BT25" i="2"/>
  <c r="BP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S25" i="2"/>
  <c r="AD25" i="2" s="1"/>
  <c r="G25" i="2"/>
  <c r="DL24" i="2"/>
  <c r="DK24" i="2"/>
  <c r="DJ24" i="2"/>
  <c r="DH24" i="2"/>
  <c r="DG24" i="2"/>
  <c r="DF24" i="2"/>
  <c r="DE24" i="2"/>
  <c r="DD24" i="2"/>
  <c r="DC24" i="2"/>
  <c r="DB24" i="2"/>
  <c r="DA24" i="2"/>
  <c r="CZ24" i="2"/>
  <c r="CY24" i="2"/>
  <c r="CX24" i="2"/>
  <c r="CW24" i="2"/>
  <c r="CV24" i="2"/>
  <c r="CU24" i="2"/>
  <c r="CT24" i="2"/>
  <c r="CS24" i="2"/>
  <c r="BV24" i="2"/>
  <c r="BT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D24" i="2"/>
  <c r="G24" i="2"/>
  <c r="AC24" i="2" s="1"/>
  <c r="AY24" i="2" s="1"/>
  <c r="DL23" i="2"/>
  <c r="DK23" i="2"/>
  <c r="DJ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T23" i="2"/>
  <c r="CS23" i="2"/>
  <c r="BY23" i="2"/>
  <c r="CU23" i="2" s="1"/>
  <c r="BV23" i="2"/>
  <c r="BT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B23" i="2"/>
  <c r="BA23" i="2"/>
  <c r="AG23" i="2"/>
  <c r="G23" i="2"/>
  <c r="DL22" i="2"/>
  <c r="DK22" i="2"/>
  <c r="DJ22" i="2"/>
  <c r="DH22" i="2"/>
  <c r="DG22" i="2"/>
  <c r="DF22" i="2"/>
  <c r="DE22" i="2"/>
  <c r="DD22" i="2"/>
  <c r="DC22" i="2"/>
  <c r="DB22" i="2"/>
  <c r="DA22" i="2"/>
  <c r="CZ22" i="2"/>
  <c r="CY22" i="2"/>
  <c r="CX22" i="2"/>
  <c r="CW22" i="2"/>
  <c r="CV22" i="2"/>
  <c r="CT22" i="2"/>
  <c r="CS22" i="2"/>
  <c r="BY22" i="2"/>
  <c r="BT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B22" i="2"/>
  <c r="BA22" i="2"/>
  <c r="AG22" i="2"/>
  <c r="BC22" i="2" s="1"/>
  <c r="G22" i="2"/>
  <c r="DL21" i="2"/>
  <c r="DK21" i="2"/>
  <c r="DJ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T21" i="2"/>
  <c r="CS21" i="2"/>
  <c r="BY21" i="2"/>
  <c r="BT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B21" i="2"/>
  <c r="BA21" i="2"/>
  <c r="AG21" i="2"/>
  <c r="G21" i="2"/>
  <c r="DI20" i="2"/>
  <c r="CO20" i="2"/>
  <c r="CN20" i="2"/>
  <c r="CL20" i="2"/>
  <c r="CK20" i="2"/>
  <c r="CH20" i="2"/>
  <c r="CG20" i="2"/>
  <c r="CF20" i="2"/>
  <c r="CE20" i="2"/>
  <c r="CD20" i="2"/>
  <c r="CC20" i="2"/>
  <c r="BZ20" i="2"/>
  <c r="BX20" i="2"/>
  <c r="BW20" i="2"/>
  <c r="AW20" i="2"/>
  <c r="AV20" i="2"/>
  <c r="AU20" i="2"/>
  <c r="AT20" i="2"/>
  <c r="AS20" i="2"/>
  <c r="AP20" i="2"/>
  <c r="AO20" i="2"/>
  <c r="AN20" i="2"/>
  <c r="AM20" i="2"/>
  <c r="AL20" i="2"/>
  <c r="AK20" i="2"/>
  <c r="AH20" i="2"/>
  <c r="AF20" i="2"/>
  <c r="Z20" i="2"/>
  <c r="Y20" i="2"/>
  <c r="W20" i="2"/>
  <c r="V20" i="2"/>
  <c r="U20" i="2"/>
  <c r="T20" i="2"/>
  <c r="S20" i="2"/>
  <c r="R20" i="2"/>
  <c r="Q20" i="2"/>
  <c r="P20" i="2"/>
  <c r="O20" i="2"/>
  <c r="N20" i="2"/>
  <c r="M20" i="2"/>
  <c r="K20" i="2"/>
  <c r="I20" i="2"/>
  <c r="H20" i="2"/>
  <c r="DL19" i="2"/>
  <c r="DK19" i="2"/>
  <c r="DJ19" i="2"/>
  <c r="DH19" i="2"/>
  <c r="DG19" i="2"/>
  <c r="DF19" i="2"/>
  <c r="DE19" i="2"/>
  <c r="DD19" i="2"/>
  <c r="DC19" i="2"/>
  <c r="DB19" i="2"/>
  <c r="DA19" i="2"/>
  <c r="CZ19" i="2"/>
  <c r="CY19" i="2"/>
  <c r="CX19" i="2"/>
  <c r="CV19" i="2"/>
  <c r="CU19" i="2"/>
  <c r="CT19" i="2"/>
  <c r="CS19" i="2"/>
  <c r="CA19" i="2"/>
  <c r="BV19" i="2" s="1"/>
  <c r="BT19" i="2"/>
  <c r="BS19" i="2"/>
  <c r="BP19" i="2"/>
  <c r="BO19" i="2"/>
  <c r="BN19" i="2"/>
  <c r="BM19" i="2"/>
  <c r="BL19" i="2"/>
  <c r="BK19" i="2"/>
  <c r="BJ19" i="2"/>
  <c r="BI19" i="2"/>
  <c r="BH19" i="2"/>
  <c r="BG19" i="2"/>
  <c r="BF19" i="2"/>
  <c r="BD19" i="2"/>
  <c r="BC19" i="2"/>
  <c r="BB19" i="2"/>
  <c r="BA19" i="2"/>
  <c r="AI19" i="2"/>
  <c r="BE19" i="2" s="1"/>
  <c r="G19" i="2"/>
  <c r="DL18" i="2"/>
  <c r="DK18" i="2"/>
  <c r="DJ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S18" i="2"/>
  <c r="BV18" i="2"/>
  <c r="BT18" i="2"/>
  <c r="BS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D18" i="2"/>
  <c r="G18" i="2"/>
  <c r="DL17" i="2"/>
  <c r="DK17" i="2"/>
  <c r="DJ17" i="2"/>
  <c r="DH17" i="2"/>
  <c r="DG17" i="2"/>
  <c r="DF17" i="2"/>
  <c r="DE17" i="2"/>
  <c r="DD17" i="2"/>
  <c r="DC17" i="2"/>
  <c r="DB17" i="2"/>
  <c r="DA17" i="2"/>
  <c r="CZ17" i="2"/>
  <c r="CY17" i="2"/>
  <c r="CX17" i="2"/>
  <c r="CV17" i="2"/>
  <c r="CU17" i="2"/>
  <c r="CT17" i="2"/>
  <c r="CS17" i="2"/>
  <c r="BV17" i="2"/>
  <c r="BT17" i="2"/>
  <c r="BS17" i="2"/>
  <c r="BR17" i="2"/>
  <c r="BP17" i="2"/>
  <c r="BO17" i="2"/>
  <c r="BN17" i="2"/>
  <c r="BM17" i="2"/>
  <c r="BL17" i="2"/>
  <c r="BK17" i="2"/>
  <c r="BJ17" i="2"/>
  <c r="BI17" i="2"/>
  <c r="BH17" i="2"/>
  <c r="BG17" i="2"/>
  <c r="BF17" i="2"/>
  <c r="BD17" i="2"/>
  <c r="BC17" i="2"/>
  <c r="BB17" i="2"/>
  <c r="BA17" i="2"/>
  <c r="AI17" i="2"/>
  <c r="AD17" i="2" s="1"/>
  <c r="L17" i="2"/>
  <c r="G17" i="2" s="1"/>
  <c r="DL16" i="2"/>
  <c r="DK16" i="2"/>
  <c r="DJ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T16" i="2"/>
  <c r="CS16" i="2"/>
  <c r="BV16" i="2"/>
  <c r="BS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D16" i="2"/>
  <c r="AA16" i="2"/>
  <c r="BT16" i="2" s="1"/>
  <c r="DL15" i="2"/>
  <c r="DK15" i="2"/>
  <c r="DJ15" i="2"/>
  <c r="DH15" i="2"/>
  <c r="DG15" i="2"/>
  <c r="DF15" i="2"/>
  <c r="DD15" i="2"/>
  <c r="DC15" i="2"/>
  <c r="DB15" i="2"/>
  <c r="DA15" i="2"/>
  <c r="CZ15" i="2"/>
  <c r="CY15" i="2"/>
  <c r="CX15" i="2"/>
  <c r="CV15" i="2"/>
  <c r="CU15" i="2"/>
  <c r="CT15" i="2"/>
  <c r="CS15" i="2"/>
  <c r="CI15" i="2"/>
  <c r="CI136" i="2" s="1"/>
  <c r="CA15" i="2"/>
  <c r="CW15" i="2" s="1"/>
  <c r="BT15" i="2"/>
  <c r="BS15" i="2"/>
  <c r="BP15" i="2"/>
  <c r="BO15" i="2"/>
  <c r="BN15" i="2"/>
  <c r="BL15" i="2"/>
  <c r="BK15" i="2"/>
  <c r="BJ15" i="2"/>
  <c r="BI15" i="2"/>
  <c r="BH15" i="2"/>
  <c r="BG15" i="2"/>
  <c r="BF15" i="2"/>
  <c r="BD15" i="2"/>
  <c r="BC15" i="2"/>
  <c r="BB15" i="2"/>
  <c r="BA15" i="2"/>
  <c r="AQ15" i="2"/>
  <c r="AQ136" i="2" s="1"/>
  <c r="AI15" i="2"/>
  <c r="BE15" i="2" s="1"/>
  <c r="G15" i="2"/>
  <c r="DL14" i="2"/>
  <c r="DK14" i="2"/>
  <c r="DJ14" i="2"/>
  <c r="DH14" i="2"/>
  <c r="DG14" i="2"/>
  <c r="DF14" i="2"/>
  <c r="DE14" i="2"/>
  <c r="DD14" i="2"/>
  <c r="DC14" i="2"/>
  <c r="DB14" i="2"/>
  <c r="DA14" i="2"/>
  <c r="CZ14" i="2"/>
  <c r="CY14" i="2"/>
  <c r="CX14" i="2"/>
  <c r="CV14" i="2"/>
  <c r="CU14" i="2"/>
  <c r="CT14" i="2"/>
  <c r="CS14" i="2"/>
  <c r="CA14" i="2"/>
  <c r="CW14" i="2" s="1"/>
  <c r="BT14" i="2"/>
  <c r="BS14" i="2"/>
  <c r="BR14" i="2"/>
  <c r="BP14" i="2"/>
  <c r="BO14" i="2"/>
  <c r="BN14" i="2"/>
  <c r="BM14" i="2"/>
  <c r="BL14" i="2"/>
  <c r="BK14" i="2"/>
  <c r="BJ14" i="2"/>
  <c r="BI14" i="2"/>
  <c r="BH14" i="2"/>
  <c r="BG14" i="2"/>
  <c r="BF14" i="2"/>
  <c r="BD14" i="2"/>
  <c r="BC14" i="2"/>
  <c r="BB14" i="2"/>
  <c r="BA14" i="2"/>
  <c r="AI14" i="2"/>
  <c r="AD14" i="2" s="1"/>
  <c r="G14" i="2"/>
  <c r="DK13" i="2"/>
  <c r="DJ13" i="2"/>
  <c r="DH13" i="2"/>
  <c r="DG13" i="2"/>
  <c r="DE13" i="2"/>
  <c r="DD13" i="2"/>
  <c r="DC13" i="2"/>
  <c r="DB13" i="2"/>
  <c r="DA13" i="2"/>
  <c r="CZ13" i="2"/>
  <c r="CY13" i="2"/>
  <c r="CV13" i="2"/>
  <c r="CU13" i="2"/>
  <c r="CT13" i="2"/>
  <c r="CS13" i="2"/>
  <c r="CP13" i="2"/>
  <c r="CJ13" i="2"/>
  <c r="DF13" i="2" s="1"/>
  <c r="CB13" i="2"/>
  <c r="CB136" i="2" s="1"/>
  <c r="CA13" i="2"/>
  <c r="CW13" i="2" s="1"/>
  <c r="BS13" i="2"/>
  <c r="BP13" i="2"/>
  <c r="BO13" i="2"/>
  <c r="BM13" i="2"/>
  <c r="BL13" i="2"/>
  <c r="BK13" i="2"/>
  <c r="BJ13" i="2"/>
  <c r="BI13" i="2"/>
  <c r="BH13" i="2"/>
  <c r="BG13" i="2"/>
  <c r="BE13" i="2"/>
  <c r="BD13" i="2"/>
  <c r="BC13" i="2"/>
  <c r="BB13" i="2"/>
  <c r="BA13" i="2"/>
  <c r="AX13" i="2"/>
  <c r="AR13" i="2"/>
  <c r="AR136" i="2" s="1"/>
  <c r="AJ13" i="2"/>
  <c r="AA13" i="2"/>
  <c r="DL12" i="2"/>
  <c r="DK12" i="2"/>
  <c r="DJ12" i="2"/>
  <c r="DH12" i="2"/>
  <c r="DG12" i="2"/>
  <c r="DF12" i="2"/>
  <c r="DE12" i="2"/>
  <c r="DD12" i="2"/>
  <c r="DC12" i="2"/>
  <c r="DB12" i="2"/>
  <c r="DA12" i="2"/>
  <c r="CZ12" i="2"/>
  <c r="CY12" i="2"/>
  <c r="CX12" i="2"/>
  <c r="CW12" i="2"/>
  <c r="CV12" i="2"/>
  <c r="CU12" i="2"/>
  <c r="CT12" i="2"/>
  <c r="CS12" i="2"/>
  <c r="BV12" i="2"/>
  <c r="BT12" i="2"/>
  <c r="BS12" i="2"/>
  <c r="BP12" i="2"/>
  <c r="BO12" i="2"/>
  <c r="BN12" i="2"/>
  <c r="BM12" i="2"/>
  <c r="BL12" i="2"/>
  <c r="BK12" i="2"/>
  <c r="BJ12" i="2"/>
  <c r="BI12" i="2"/>
  <c r="BH12" i="2"/>
  <c r="BG12" i="2"/>
  <c r="BF12" i="2"/>
  <c r="BD12" i="2"/>
  <c r="BC12" i="2"/>
  <c r="BB12" i="2"/>
  <c r="BA12" i="2"/>
  <c r="AI12" i="2"/>
  <c r="BE12" i="2" s="1"/>
  <c r="AD12" i="2"/>
  <c r="AC12" i="2" s="1"/>
  <c r="AY12" i="2" s="1"/>
  <c r="G12" i="2"/>
  <c r="DL11" i="2"/>
  <c r="DK11" i="2"/>
  <c r="DJ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BV11" i="2"/>
  <c r="BT11" i="2"/>
  <c r="BS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D11" i="2"/>
  <c r="G11" i="2"/>
  <c r="DL10" i="2"/>
  <c r="DK10" i="2"/>
  <c r="DJ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CU10" i="2"/>
  <c r="CT10" i="2"/>
  <c r="CS10" i="2"/>
  <c r="BV10" i="2"/>
  <c r="BT10" i="2"/>
  <c r="BS10" i="2"/>
  <c r="BP10" i="2"/>
  <c r="BO10" i="2"/>
  <c r="BN10" i="2"/>
  <c r="BM10" i="2"/>
  <c r="BL10" i="2"/>
  <c r="BK10" i="2"/>
  <c r="BJ10" i="2"/>
  <c r="BI10" i="2"/>
  <c r="BH10" i="2"/>
  <c r="BG10" i="2"/>
  <c r="BF10" i="2"/>
  <c r="BD10" i="2"/>
  <c r="BC10" i="2"/>
  <c r="BB10" i="2"/>
  <c r="BA10" i="2"/>
  <c r="AI10" i="2"/>
  <c r="AD10" i="2" s="1"/>
  <c r="G10" i="2"/>
  <c r="BU10" i="2" s="1"/>
  <c r="CQ10" i="2" s="1"/>
  <c r="DK9" i="2"/>
  <c r="DJ9" i="2"/>
  <c r="DH9" i="2"/>
  <c r="DG9" i="2"/>
  <c r="DF9" i="2"/>
  <c r="DE9" i="2"/>
  <c r="DD9" i="2"/>
  <c r="DC9" i="2"/>
  <c r="DB9" i="2"/>
  <c r="DA9" i="2"/>
  <c r="CZ9" i="2"/>
  <c r="CY9" i="2"/>
  <c r="CX9" i="2"/>
  <c r="CV9" i="2"/>
  <c r="CT9" i="2"/>
  <c r="CS9" i="2"/>
  <c r="CP9" i="2"/>
  <c r="CA9" i="2"/>
  <c r="BY9" i="2"/>
  <c r="BS9" i="2"/>
  <c r="BP9" i="2"/>
  <c r="BO9" i="2"/>
  <c r="BN9" i="2"/>
  <c r="BM9" i="2"/>
  <c r="BL9" i="2"/>
  <c r="BK9" i="2"/>
  <c r="BJ9" i="2"/>
  <c r="BI9" i="2"/>
  <c r="BH9" i="2"/>
  <c r="BG9" i="2"/>
  <c r="BF9" i="2"/>
  <c r="BD9" i="2"/>
  <c r="BB9" i="2"/>
  <c r="BA9" i="2"/>
  <c r="AX9" i="2"/>
  <c r="AI9" i="2"/>
  <c r="AG9" i="2"/>
  <c r="AA9" i="2"/>
  <c r="L9" i="2"/>
  <c r="J9" i="2"/>
  <c r="DL8" i="2"/>
  <c r="DK8" i="2"/>
  <c r="DJ8" i="2"/>
  <c r="DH8" i="2"/>
  <c r="DG8" i="2"/>
  <c r="DF8" i="2"/>
  <c r="DE8" i="2"/>
  <c r="DD8" i="2"/>
  <c r="DC8" i="2"/>
  <c r="DB8" i="2"/>
  <c r="DA8" i="2"/>
  <c r="CZ8" i="2"/>
  <c r="CY8" i="2"/>
  <c r="CX8" i="2"/>
  <c r="CV8" i="2"/>
  <c r="CT8" i="2"/>
  <c r="CS8" i="2"/>
  <c r="CA8" i="2"/>
  <c r="BY8" i="2"/>
  <c r="BT8" i="2"/>
  <c r="BS8" i="2"/>
  <c r="BP8" i="2"/>
  <c r="BO8" i="2"/>
  <c r="BN8" i="2"/>
  <c r="BM8" i="2"/>
  <c r="BL8" i="2"/>
  <c r="BK8" i="2"/>
  <c r="BJ8" i="2"/>
  <c r="BI8" i="2"/>
  <c r="BH8" i="2"/>
  <c r="BG8" i="2"/>
  <c r="BF8" i="2"/>
  <c r="BD8" i="2"/>
  <c r="BB8" i="2"/>
  <c r="BA8" i="2"/>
  <c r="AI8" i="2"/>
  <c r="AG8" i="2"/>
  <c r="L8" i="2"/>
  <c r="J8" i="2"/>
  <c r="G8" i="2" s="1"/>
  <c r="DL7" i="2"/>
  <c r="DK7" i="2"/>
  <c r="DJ7" i="2"/>
  <c r="DH7" i="2"/>
  <c r="DG7" i="2"/>
  <c r="DF7" i="2"/>
  <c r="DE7" i="2"/>
  <c r="DD7" i="2"/>
  <c r="DC7" i="2"/>
  <c r="DB7" i="2"/>
  <c r="DA7" i="2"/>
  <c r="CZ7" i="2"/>
  <c r="CY7" i="2"/>
  <c r="CX7" i="2"/>
  <c r="CV7" i="2"/>
  <c r="CT7" i="2"/>
  <c r="CS7" i="2"/>
  <c r="BV7" i="2"/>
  <c r="BS7" i="2"/>
  <c r="BP7" i="2"/>
  <c r="BO7" i="2"/>
  <c r="BN7" i="2"/>
  <c r="BM7" i="2"/>
  <c r="BL7" i="2"/>
  <c r="BK7" i="2"/>
  <c r="BJ7" i="2"/>
  <c r="BI7" i="2"/>
  <c r="BH7" i="2"/>
  <c r="BG7" i="2"/>
  <c r="BF7" i="2"/>
  <c r="BD7" i="2"/>
  <c r="BB7" i="2"/>
  <c r="BA7" i="2"/>
  <c r="AX7" i="2"/>
  <c r="AD7" i="2" s="1"/>
  <c r="L7" i="2"/>
  <c r="CW7" i="2" s="1"/>
  <c r="J7" i="2"/>
  <c r="BC7" i="2" s="1"/>
  <c r="DL6" i="2"/>
  <c r="DK6" i="2"/>
  <c r="DJ6" i="2"/>
  <c r="DH6" i="2"/>
  <c r="DG6" i="2"/>
  <c r="DF6" i="2"/>
  <c r="DE6" i="2"/>
  <c r="DD6" i="2"/>
  <c r="DC6" i="2"/>
  <c r="DB6" i="2"/>
  <c r="DA6" i="2"/>
  <c r="CZ6" i="2"/>
  <c r="CY6" i="2"/>
  <c r="CX6" i="2"/>
  <c r="CV6" i="2"/>
  <c r="CU6" i="2"/>
  <c r="CT6" i="2"/>
  <c r="CS6" i="2"/>
  <c r="CA6" i="2"/>
  <c r="BV6" i="2" s="1"/>
  <c r="BT6" i="2"/>
  <c r="BS6" i="2"/>
  <c r="BP6" i="2"/>
  <c r="BO6" i="2"/>
  <c r="BN6" i="2"/>
  <c r="BM6" i="2"/>
  <c r="BL6" i="2"/>
  <c r="BK6" i="2"/>
  <c r="BJ6" i="2"/>
  <c r="BI6" i="2"/>
  <c r="BH6" i="2"/>
  <c r="BG6" i="2"/>
  <c r="BF6" i="2"/>
  <c r="BD6" i="2"/>
  <c r="BC6" i="2"/>
  <c r="BB6" i="2"/>
  <c r="BA6" i="2"/>
  <c r="AI6" i="2"/>
  <c r="AD6" i="2" s="1"/>
  <c r="G6" i="2"/>
  <c r="DK5" i="2"/>
  <c r="DJ5" i="2"/>
  <c r="DH5" i="2"/>
  <c r="DG5" i="2"/>
  <c r="DF5" i="2"/>
  <c r="DE5" i="2"/>
  <c r="DD5" i="2"/>
  <c r="DC5" i="2"/>
  <c r="DB5" i="2"/>
  <c r="DA5" i="2"/>
  <c r="CZ5" i="2"/>
  <c r="CY5" i="2"/>
  <c r="CX5" i="2"/>
  <c r="CV5" i="2"/>
  <c r="CU5" i="2"/>
  <c r="CT5" i="2"/>
  <c r="CS5" i="2"/>
  <c r="CP5" i="2"/>
  <c r="CA5" i="2"/>
  <c r="CW5" i="2" s="1"/>
  <c r="BS5" i="2"/>
  <c r="BP5" i="2"/>
  <c r="BO5" i="2"/>
  <c r="BN5" i="2"/>
  <c r="BM5" i="2"/>
  <c r="BL5" i="2"/>
  <c r="BK5" i="2"/>
  <c r="BJ5" i="2"/>
  <c r="BI5" i="2"/>
  <c r="BH5" i="2"/>
  <c r="BG5" i="2"/>
  <c r="BF5" i="2"/>
  <c r="BD5" i="2"/>
  <c r="BC5" i="2"/>
  <c r="BB5" i="2"/>
  <c r="BA5" i="2"/>
  <c r="AX5" i="2"/>
  <c r="AI5" i="2"/>
  <c r="AA5" i="2"/>
  <c r="G5" i="2"/>
  <c r="DL4" i="2"/>
  <c r="DK4" i="2"/>
  <c r="DJ4" i="2"/>
  <c r="DH4" i="2"/>
  <c r="DG4" i="2"/>
  <c r="DF4" i="2"/>
  <c r="DE4" i="2"/>
  <c r="DD4" i="2"/>
  <c r="DC4" i="2"/>
  <c r="DB4" i="2"/>
  <c r="DA4" i="2"/>
  <c r="CZ4" i="2"/>
  <c r="CY4" i="2"/>
  <c r="CX4" i="2"/>
  <c r="CV4" i="2"/>
  <c r="CU4" i="2"/>
  <c r="CT4" i="2"/>
  <c r="CS4" i="2"/>
  <c r="CA4" i="2"/>
  <c r="CW4" i="2" s="1"/>
  <c r="BT4" i="2"/>
  <c r="BS4" i="2"/>
  <c r="BR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D4" i="2"/>
  <c r="G4" i="2"/>
  <c r="AC4" i="2" s="1"/>
  <c r="AY4" i="2" s="1"/>
  <c r="DI140" i="1"/>
  <c r="CO140" i="1"/>
  <c r="CN140" i="1"/>
  <c r="CM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W140" i="1"/>
  <c r="AW140" i="1"/>
  <c r="AV140" i="1"/>
  <c r="AU140" i="1"/>
  <c r="AR140" i="1"/>
  <c r="AQ140" i="1"/>
  <c r="AP140" i="1"/>
  <c r="AO140" i="1"/>
  <c r="AN140" i="1"/>
  <c r="AM140" i="1"/>
  <c r="AL140" i="1"/>
  <c r="AK140" i="1"/>
  <c r="AJ140" i="1"/>
  <c r="AH140" i="1"/>
  <c r="AE140" i="1"/>
  <c r="Z140" i="1"/>
  <c r="Y140" i="1"/>
  <c r="W140" i="1"/>
  <c r="U140" i="1"/>
  <c r="T140" i="1"/>
  <c r="S140" i="1"/>
  <c r="R140" i="1"/>
  <c r="Q140" i="1"/>
  <c r="P140" i="1"/>
  <c r="O140" i="1"/>
  <c r="N140" i="1"/>
  <c r="M140" i="1"/>
  <c r="L140" i="1"/>
  <c r="K140" i="1"/>
  <c r="I140" i="1"/>
  <c r="H140" i="1"/>
  <c r="AB139" i="1"/>
  <c r="AB141" i="1" s="1"/>
  <c r="DI138" i="1"/>
  <c r="CM138" i="1"/>
  <c r="AU138" i="1"/>
  <c r="AA138" i="1"/>
  <c r="Y138" i="1"/>
  <c r="DI137" i="1"/>
  <c r="CO137" i="1"/>
  <c r="CN137" i="1"/>
  <c r="CM137" i="1"/>
  <c r="CL137" i="1"/>
  <c r="CK137" i="1"/>
  <c r="CJ137" i="1"/>
  <c r="CG137" i="1"/>
  <c r="CF137" i="1"/>
  <c r="CE137" i="1"/>
  <c r="CD137" i="1"/>
  <c r="CC137" i="1"/>
  <c r="BZ137" i="1"/>
  <c r="BY137" i="1"/>
  <c r="BX137" i="1"/>
  <c r="BW137" i="1"/>
  <c r="AW137" i="1"/>
  <c r="AV137" i="1"/>
  <c r="AU137" i="1"/>
  <c r="AT137" i="1"/>
  <c r="AS137" i="1"/>
  <c r="AR137" i="1"/>
  <c r="AO137" i="1"/>
  <c r="AN137" i="1"/>
  <c r="AM137" i="1"/>
  <c r="AL137" i="1"/>
  <c r="AK137" i="1"/>
  <c r="AH137" i="1"/>
  <c r="AG137" i="1"/>
  <c r="AF137" i="1"/>
  <c r="AE137" i="1"/>
  <c r="Z137" i="1"/>
  <c r="Y137" i="1"/>
  <c r="W137" i="1"/>
  <c r="V137" i="1"/>
  <c r="U137" i="1"/>
  <c r="S137" i="1"/>
  <c r="R137" i="1"/>
  <c r="Q137" i="1"/>
  <c r="P137" i="1"/>
  <c r="O137" i="1"/>
  <c r="N137" i="1"/>
  <c r="K137" i="1"/>
  <c r="J137" i="1"/>
  <c r="I137" i="1"/>
  <c r="H137" i="1"/>
  <c r="DI136" i="1"/>
  <c r="CO136" i="1"/>
  <c r="CN136" i="1"/>
  <c r="CM136" i="1"/>
  <c r="CL136" i="1"/>
  <c r="CK136" i="1"/>
  <c r="CH136" i="1"/>
  <c r="CG136" i="1"/>
  <c r="CF136" i="1"/>
  <c r="CE136" i="1"/>
  <c r="CD136" i="1"/>
  <c r="CC136" i="1"/>
  <c r="BZ136" i="1"/>
  <c r="BY136" i="1"/>
  <c r="BX136" i="1"/>
  <c r="BW136" i="1"/>
  <c r="AW136" i="1"/>
  <c r="AV136" i="1"/>
  <c r="AU136" i="1"/>
  <c r="AT136" i="1"/>
  <c r="AS136" i="1"/>
  <c r="AP136" i="1"/>
  <c r="AO136" i="1"/>
  <c r="AN136" i="1"/>
  <c r="AM136" i="1"/>
  <c r="AL136" i="1"/>
  <c r="AK136" i="1"/>
  <c r="AH136" i="1"/>
  <c r="AG136" i="1"/>
  <c r="AF136" i="1"/>
  <c r="AE136" i="1"/>
  <c r="Z136" i="1"/>
  <c r="Y136" i="1"/>
  <c r="W136" i="1"/>
  <c r="V136" i="1"/>
  <c r="U136" i="1"/>
  <c r="T136" i="1"/>
  <c r="S136" i="1"/>
  <c r="R136" i="1"/>
  <c r="Q136" i="1"/>
  <c r="P136" i="1"/>
  <c r="O136" i="1"/>
  <c r="N136" i="1"/>
  <c r="M136" i="1"/>
  <c r="K136" i="1"/>
  <c r="I136" i="1"/>
  <c r="H136" i="1"/>
  <c r="CN135" i="1"/>
  <c r="CM135" i="1"/>
  <c r="CL135" i="1"/>
  <c r="CJ135" i="1"/>
  <c r="CG135" i="1"/>
  <c r="CF135" i="1"/>
  <c r="CE135" i="1"/>
  <c r="CD135" i="1"/>
  <c r="CC135" i="1"/>
  <c r="CB135" i="1"/>
  <c r="CA135" i="1"/>
  <c r="BZ135" i="1"/>
  <c r="BX135" i="1"/>
  <c r="BW135" i="1"/>
  <c r="AV135" i="1"/>
  <c r="AU135" i="1"/>
  <c r="AT135" i="1"/>
  <c r="AR135" i="1"/>
  <c r="AO135" i="1"/>
  <c r="AN135" i="1"/>
  <c r="AM135" i="1"/>
  <c r="AL135" i="1"/>
  <c r="AK135" i="1"/>
  <c r="AJ135" i="1"/>
  <c r="AI135" i="1"/>
  <c r="AH135" i="1"/>
  <c r="AF135" i="1"/>
  <c r="AE135" i="1"/>
  <c r="Y135" i="1"/>
  <c r="X135" i="1"/>
  <c r="X139" i="1" s="1"/>
  <c r="X141" i="1" s="1"/>
  <c r="W135" i="1"/>
  <c r="U135" i="1"/>
  <c r="T135" i="1"/>
  <c r="R135" i="1"/>
  <c r="Q135" i="1"/>
  <c r="P135" i="1"/>
  <c r="O135" i="1"/>
  <c r="N135" i="1"/>
  <c r="L135" i="1"/>
  <c r="K135" i="1"/>
  <c r="I135" i="1"/>
  <c r="H135" i="1"/>
  <c r="DI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BZ134" i="1"/>
  <c r="BX134" i="1"/>
  <c r="BW134" i="1"/>
  <c r="BR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H134" i="1"/>
  <c r="AF134" i="1"/>
  <c r="AE134" i="1"/>
  <c r="Z134" i="1"/>
  <c r="Y134" i="1"/>
  <c r="W134" i="1"/>
  <c r="V134" i="1"/>
  <c r="U134" i="1"/>
  <c r="T134" i="1"/>
  <c r="S134" i="1"/>
  <c r="R134" i="1"/>
  <c r="Q134" i="1"/>
  <c r="P134" i="1"/>
  <c r="O134" i="1"/>
  <c r="N134" i="1"/>
  <c r="M134" i="1"/>
  <c r="K134" i="1"/>
  <c r="I134" i="1"/>
  <c r="H134" i="1"/>
  <c r="DI133" i="1"/>
  <c r="DB133" i="1"/>
  <c r="CO133" i="1"/>
  <c r="CN133" i="1"/>
  <c r="CM133" i="1"/>
  <c r="CL133" i="1"/>
  <c r="CK133" i="1"/>
  <c r="CJ133" i="1"/>
  <c r="CH133" i="1"/>
  <c r="CF133" i="1"/>
  <c r="CE133" i="1"/>
  <c r="CD133" i="1"/>
  <c r="CC133" i="1"/>
  <c r="CB133" i="1"/>
  <c r="CA133" i="1"/>
  <c r="BZ133" i="1"/>
  <c r="BX133" i="1"/>
  <c r="BW133" i="1"/>
  <c r="BR133" i="1"/>
  <c r="AW133" i="1"/>
  <c r="AV133" i="1"/>
  <c r="AU133" i="1"/>
  <c r="AT133" i="1"/>
  <c r="AS133" i="1"/>
  <c r="AR133" i="1"/>
  <c r="AP133" i="1"/>
  <c r="AN133" i="1"/>
  <c r="AM133" i="1"/>
  <c r="AL133" i="1"/>
  <c r="AK133" i="1"/>
  <c r="AJ133" i="1"/>
  <c r="AI133" i="1"/>
  <c r="AH133" i="1"/>
  <c r="AF133" i="1"/>
  <c r="AE133" i="1"/>
  <c r="Z133" i="1"/>
  <c r="Y133" i="1"/>
  <c r="W133" i="1"/>
  <c r="U133" i="1"/>
  <c r="T133" i="1"/>
  <c r="S133" i="1"/>
  <c r="Q133" i="1"/>
  <c r="P133" i="1"/>
  <c r="O133" i="1"/>
  <c r="N133" i="1"/>
  <c r="M133" i="1"/>
  <c r="L133" i="1"/>
  <c r="K133" i="1"/>
  <c r="I133" i="1"/>
  <c r="H133" i="1"/>
  <c r="DI132" i="1"/>
  <c r="CT132" i="1"/>
  <c r="CO132" i="1"/>
  <c r="CN132" i="1"/>
  <c r="CM132" i="1"/>
  <c r="CL132" i="1"/>
  <c r="CK132" i="1"/>
  <c r="CJ132" i="1"/>
  <c r="CI132" i="1"/>
  <c r="CH132" i="1"/>
  <c r="CF132" i="1"/>
  <c r="CE132" i="1"/>
  <c r="CD132" i="1"/>
  <c r="CC132" i="1"/>
  <c r="CB132" i="1"/>
  <c r="CA132" i="1"/>
  <c r="BX132" i="1"/>
  <c r="BW132" i="1"/>
  <c r="BR132" i="1"/>
  <c r="AW132" i="1"/>
  <c r="AV132" i="1"/>
  <c r="AU132" i="1"/>
  <c r="AT132" i="1"/>
  <c r="AS132" i="1"/>
  <c r="AR132" i="1"/>
  <c r="AQ132" i="1"/>
  <c r="AP132" i="1"/>
  <c r="AN132" i="1"/>
  <c r="AM132" i="1"/>
  <c r="AL132" i="1"/>
  <c r="AK132" i="1"/>
  <c r="AJ132" i="1"/>
  <c r="AI132" i="1"/>
  <c r="AF132" i="1"/>
  <c r="AE132" i="1"/>
  <c r="Z132" i="1"/>
  <c r="Y132" i="1"/>
  <c r="W132" i="1"/>
  <c r="V132" i="1"/>
  <c r="U132" i="1"/>
  <c r="T132" i="1"/>
  <c r="S132" i="1"/>
  <c r="M132" i="1"/>
  <c r="L132" i="1"/>
  <c r="I132" i="1"/>
  <c r="H132" i="1"/>
  <c r="DP131" i="1"/>
  <c r="DO131" i="1"/>
  <c r="DN131" i="1"/>
  <c r="V130" i="1"/>
  <c r="DP129" i="1"/>
  <c r="DO129" i="1"/>
  <c r="DN129" i="1"/>
  <c r="DI128" i="1"/>
  <c r="CO128" i="1"/>
  <c r="CL128" i="1"/>
  <c r="CK128" i="1"/>
  <c r="CI128" i="1"/>
  <c r="CH128" i="1"/>
  <c r="CF128" i="1"/>
  <c r="CE128" i="1"/>
  <c r="CD128" i="1"/>
  <c r="CC128" i="1"/>
  <c r="CB128" i="1"/>
  <c r="BX128" i="1"/>
  <c r="BW128" i="1"/>
  <c r="BQ128" i="1"/>
  <c r="AW128" i="1"/>
  <c r="AU128" i="1"/>
  <c r="AT128" i="1"/>
  <c r="AS128" i="1"/>
  <c r="AQ128" i="1"/>
  <c r="AP128" i="1"/>
  <c r="AN128" i="1"/>
  <c r="AM128" i="1"/>
  <c r="AL128" i="1"/>
  <c r="AK128" i="1"/>
  <c r="AJ128" i="1"/>
  <c r="AF128" i="1"/>
  <c r="Z128" i="1"/>
  <c r="Y128" i="1"/>
  <c r="X128" i="1"/>
  <c r="W128" i="1"/>
  <c r="V128" i="1"/>
  <c r="T128" i="1"/>
  <c r="S128" i="1"/>
  <c r="Q128" i="1"/>
  <c r="P128" i="1"/>
  <c r="M128" i="1"/>
  <c r="L128" i="1"/>
  <c r="I128" i="1"/>
  <c r="H128" i="1"/>
  <c r="DK127" i="1"/>
  <c r="DJ127" i="1"/>
  <c r="DH127" i="1"/>
  <c r="DG127" i="1"/>
  <c r="DF127" i="1"/>
  <c r="DE127" i="1"/>
  <c r="DD127" i="1"/>
  <c r="DC127" i="1"/>
  <c r="DB127" i="1"/>
  <c r="DA127" i="1"/>
  <c r="CZ127" i="1"/>
  <c r="CY127" i="1"/>
  <c r="CX127" i="1"/>
  <c r="CV127" i="1"/>
  <c r="CU127" i="1"/>
  <c r="CT127" i="1"/>
  <c r="CS127" i="1"/>
  <c r="CP127" i="1"/>
  <c r="DL127" i="1" s="1"/>
  <c r="CA127" i="1"/>
  <c r="BV127" i="1" s="1"/>
  <c r="BS127" i="1"/>
  <c r="BP127" i="1"/>
  <c r="BO127" i="1"/>
  <c r="BN127" i="1"/>
  <c r="BM127" i="1"/>
  <c r="BL127" i="1"/>
  <c r="BK127" i="1"/>
  <c r="BJ127" i="1"/>
  <c r="BI127" i="1"/>
  <c r="BH127" i="1"/>
  <c r="BG127" i="1"/>
  <c r="BF127" i="1"/>
  <c r="BD127" i="1"/>
  <c r="BC127" i="1"/>
  <c r="BB127" i="1"/>
  <c r="BA127" i="1"/>
  <c r="AX127" i="1"/>
  <c r="AI127" i="1"/>
  <c r="AA127" i="1"/>
  <c r="G127" i="1"/>
  <c r="DN127" i="1" s="1"/>
  <c r="DN126" i="1"/>
  <c r="DL126" i="1"/>
  <c r="DK126" i="1"/>
  <c r="DJ126" i="1"/>
  <c r="DH126" i="1"/>
  <c r="DG126" i="1"/>
  <c r="DF126" i="1"/>
  <c r="DE126" i="1"/>
  <c r="DD126" i="1"/>
  <c r="DC126" i="1"/>
  <c r="DB126" i="1"/>
  <c r="DA126" i="1"/>
  <c r="CZ126" i="1"/>
  <c r="CY126" i="1"/>
  <c r="CX126" i="1"/>
  <c r="CV126" i="1"/>
  <c r="CU126" i="1"/>
  <c r="CT126" i="1"/>
  <c r="CS126" i="1"/>
  <c r="CA126" i="1"/>
  <c r="BT126" i="1"/>
  <c r="BS126" i="1"/>
  <c r="BP126" i="1"/>
  <c r="BO126" i="1"/>
  <c r="BN126" i="1"/>
  <c r="BM126" i="1"/>
  <c r="BL126" i="1"/>
  <c r="BK126" i="1"/>
  <c r="BJ126" i="1"/>
  <c r="BI126" i="1"/>
  <c r="BH126" i="1"/>
  <c r="BG126" i="1"/>
  <c r="BF126" i="1"/>
  <c r="BE126" i="1"/>
  <c r="BD126" i="1"/>
  <c r="BC126" i="1"/>
  <c r="BB126" i="1"/>
  <c r="BA126" i="1"/>
  <c r="AI126" i="1"/>
  <c r="AD126" i="1" s="1"/>
  <c r="G126" i="1"/>
  <c r="DL125" i="1"/>
  <c r="DK125" i="1"/>
  <c r="DJ125" i="1"/>
  <c r="DH125" i="1"/>
  <c r="DG125" i="1"/>
  <c r="DF125" i="1"/>
  <c r="DE125" i="1"/>
  <c r="DD125" i="1"/>
  <c r="DC125" i="1"/>
  <c r="DB125" i="1"/>
  <c r="DA125" i="1"/>
  <c r="CZ125" i="1"/>
  <c r="CY125" i="1"/>
  <c r="CX125" i="1"/>
  <c r="CV125" i="1"/>
  <c r="CU125" i="1"/>
  <c r="CT125" i="1"/>
  <c r="CS125" i="1"/>
  <c r="CA125" i="1"/>
  <c r="BT125" i="1"/>
  <c r="BS125" i="1"/>
  <c r="BP125" i="1"/>
  <c r="BO125" i="1"/>
  <c r="BN125" i="1"/>
  <c r="BM125" i="1"/>
  <c r="BL125" i="1"/>
  <c r="BK125" i="1"/>
  <c r="BJ125" i="1"/>
  <c r="BI125" i="1"/>
  <c r="BH125" i="1"/>
  <c r="BG125" i="1"/>
  <c r="BF125" i="1"/>
  <c r="BD125" i="1"/>
  <c r="BC125" i="1"/>
  <c r="BB125" i="1"/>
  <c r="BA125" i="1"/>
  <c r="AI125" i="1"/>
  <c r="BE125" i="1" s="1"/>
  <c r="AD125" i="1"/>
  <c r="G125" i="1"/>
  <c r="DN125" i="1" s="1"/>
  <c r="DN124" i="1"/>
  <c r="DL124" i="1"/>
  <c r="DK124" i="1"/>
  <c r="DJ124" i="1"/>
  <c r="DH124" i="1"/>
  <c r="DG124" i="1"/>
  <c r="DF124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BV124" i="1"/>
  <c r="BU124" i="1"/>
  <c r="CQ124" i="1" s="1"/>
  <c r="BT124" i="1"/>
  <c r="BS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Y124" i="1"/>
  <c r="AD124" i="1"/>
  <c r="AC124" i="1" s="1"/>
  <c r="G124" i="1"/>
  <c r="DL123" i="1"/>
  <c r="DK123" i="1"/>
  <c r="DJ123" i="1"/>
  <c r="DH123" i="1"/>
  <c r="DG123" i="1"/>
  <c r="DF123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BV123" i="1"/>
  <c r="BU123" i="1" s="1"/>
  <c r="CQ123" i="1" s="1"/>
  <c r="BT123" i="1"/>
  <c r="BS123" i="1"/>
  <c r="BP123" i="1"/>
  <c r="BO123" i="1"/>
  <c r="BN123" i="1"/>
  <c r="BM123" i="1"/>
  <c r="BL123" i="1"/>
  <c r="BK123" i="1"/>
  <c r="BJ123" i="1"/>
  <c r="BI123" i="1"/>
  <c r="BH123" i="1"/>
  <c r="BG123" i="1"/>
  <c r="BF123" i="1"/>
  <c r="BD123" i="1"/>
  <c r="BC123" i="1"/>
  <c r="AZ123" i="1" s="1"/>
  <c r="BB123" i="1"/>
  <c r="BA123" i="1"/>
  <c r="AI123" i="1"/>
  <c r="BE123" i="1" s="1"/>
  <c r="G123" i="1"/>
  <c r="DN123" i="1" s="1"/>
  <c r="DN122" i="1"/>
  <c r="DL122" i="1"/>
  <c r="DK122" i="1"/>
  <c r="DJ122" i="1"/>
  <c r="DH122" i="1"/>
  <c r="DG122" i="1"/>
  <c r="DF122" i="1"/>
  <c r="DE122" i="1"/>
  <c r="DD122" i="1"/>
  <c r="DC122" i="1"/>
  <c r="DB122" i="1"/>
  <c r="DA122" i="1"/>
  <c r="CZ122" i="1"/>
  <c r="CY122" i="1"/>
  <c r="CX122" i="1"/>
  <c r="CW122" i="1"/>
  <c r="CR122" i="1" s="1"/>
  <c r="CV122" i="1"/>
  <c r="CU122" i="1"/>
  <c r="CT122" i="1"/>
  <c r="CS122" i="1"/>
  <c r="CA122" i="1"/>
  <c r="BV122" i="1"/>
  <c r="BU122" i="1"/>
  <c r="CQ122" i="1" s="1"/>
  <c r="BT122" i="1"/>
  <c r="BS122" i="1"/>
  <c r="BP122" i="1"/>
  <c r="BO122" i="1"/>
  <c r="BN122" i="1"/>
  <c r="BM122" i="1"/>
  <c r="BL122" i="1"/>
  <c r="BK122" i="1"/>
  <c r="BJ122" i="1"/>
  <c r="BI122" i="1"/>
  <c r="BH122" i="1"/>
  <c r="BG122" i="1"/>
  <c r="BF122" i="1"/>
  <c r="BD122" i="1"/>
  <c r="BC122" i="1"/>
  <c r="BB122" i="1"/>
  <c r="BA122" i="1"/>
  <c r="AI122" i="1"/>
  <c r="G122" i="1"/>
  <c r="CN121" i="1"/>
  <c r="CJ121" i="1"/>
  <c r="CJ138" i="1" s="1"/>
  <c r="AV121" i="1"/>
  <c r="AV138" i="1" s="1"/>
  <c r="AR121" i="1"/>
  <c r="AR138" i="1" s="1"/>
  <c r="U121" i="1"/>
  <c r="G121" i="1"/>
  <c r="DN120" i="1"/>
  <c r="DL120" i="1"/>
  <c r="DK120" i="1"/>
  <c r="DJ120" i="1"/>
  <c r="DH120" i="1"/>
  <c r="DG120" i="1"/>
  <c r="DF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CI120" i="1"/>
  <c r="CI133" i="1" s="1"/>
  <c r="BV120" i="1"/>
  <c r="BU120" i="1" s="1"/>
  <c r="CQ120" i="1" s="1"/>
  <c r="BT120" i="1"/>
  <c r="BS120" i="1"/>
  <c r="BR120" i="1"/>
  <c r="BP120" i="1"/>
  <c r="BO120" i="1"/>
  <c r="BN120" i="1"/>
  <c r="BM120" i="1"/>
  <c r="BL120" i="1"/>
  <c r="BL128" i="1" s="1"/>
  <c r="BK120" i="1"/>
  <c r="BJ120" i="1"/>
  <c r="BI120" i="1"/>
  <c r="BH120" i="1"/>
  <c r="BG120" i="1"/>
  <c r="BF120" i="1"/>
  <c r="BE120" i="1"/>
  <c r="BD120" i="1"/>
  <c r="BC120" i="1"/>
  <c r="BB120" i="1"/>
  <c r="BA120" i="1"/>
  <c r="AQ120" i="1"/>
  <c r="AD120" i="1" s="1"/>
  <c r="G120" i="1"/>
  <c r="DL119" i="1"/>
  <c r="DK119" i="1"/>
  <c r="DJ119" i="1"/>
  <c r="DH119" i="1"/>
  <c r="DF119" i="1"/>
  <c r="DE119" i="1"/>
  <c r="DD119" i="1"/>
  <c r="DC119" i="1"/>
  <c r="DB119" i="1"/>
  <c r="DA119" i="1"/>
  <c r="CZ119" i="1"/>
  <c r="CY119" i="1"/>
  <c r="CX119" i="1"/>
  <c r="CW119" i="1"/>
  <c r="CV119" i="1"/>
  <c r="CT119" i="1"/>
  <c r="CS119" i="1"/>
  <c r="BY119" i="1"/>
  <c r="BV119" i="1" s="1"/>
  <c r="BT119" i="1"/>
  <c r="BS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B119" i="1"/>
  <c r="BA119" i="1"/>
  <c r="AG119" i="1"/>
  <c r="AD119" i="1" s="1"/>
  <c r="V119" i="1"/>
  <c r="V133" i="1" s="1"/>
  <c r="J119" i="1"/>
  <c r="BC119" i="1" s="1"/>
  <c r="DK118" i="1"/>
  <c r="DJ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P118" i="1"/>
  <c r="BV118" i="1" s="1"/>
  <c r="BS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X118" i="1"/>
  <c r="AD118" i="1"/>
  <c r="AA118" i="1"/>
  <c r="DN117" i="1"/>
  <c r="DL117" i="1"/>
  <c r="DK117" i="1"/>
  <c r="DJ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 s="1"/>
  <c r="BV117" i="1"/>
  <c r="BU117" i="1"/>
  <c r="CQ117" i="1" s="1"/>
  <c r="BT117" i="1"/>
  <c r="BS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D117" i="1"/>
  <c r="AC117" i="1" s="1"/>
  <c r="AY117" i="1" s="1"/>
  <c r="G117" i="1"/>
  <c r="DL116" i="1"/>
  <c r="DK116" i="1"/>
  <c r="DJ116" i="1"/>
  <c r="DH116" i="1"/>
  <c r="DG116" i="1"/>
  <c r="DF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P116" i="1"/>
  <c r="BV116" i="1"/>
  <c r="BS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X116" i="1"/>
  <c r="BT116" i="1" s="1"/>
  <c r="AD116" i="1"/>
  <c r="AA116" i="1"/>
  <c r="G116" i="1"/>
  <c r="DN116" i="1" s="1"/>
  <c r="DK115" i="1"/>
  <c r="DK133" i="1" s="1"/>
  <c r="DJ115" i="1"/>
  <c r="DH115" i="1"/>
  <c r="DG115" i="1"/>
  <c r="DF115" i="1"/>
  <c r="DE115" i="1"/>
  <c r="DD115" i="1"/>
  <c r="DB115" i="1"/>
  <c r="DA115" i="1"/>
  <c r="CZ115" i="1"/>
  <c r="CY115" i="1"/>
  <c r="CX115" i="1"/>
  <c r="CW115" i="1"/>
  <c r="CV115" i="1"/>
  <c r="CT115" i="1"/>
  <c r="CS115" i="1"/>
  <c r="CP115" i="1"/>
  <c r="CG115" i="1"/>
  <c r="BY115" i="1"/>
  <c r="CU115" i="1" s="1"/>
  <c r="BS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B115" i="1"/>
  <c r="BA115" i="1"/>
  <c r="AX115" i="1"/>
  <c r="BT115" i="1" s="1"/>
  <c r="AG115" i="1"/>
  <c r="BC115" i="1" s="1"/>
  <c r="AA115" i="1"/>
  <c r="DL114" i="1"/>
  <c r="DK114" i="1"/>
  <c r="DJ114" i="1"/>
  <c r="DH114" i="1"/>
  <c r="DG114" i="1"/>
  <c r="DF114" i="1"/>
  <c r="DE114" i="1"/>
  <c r="DD114" i="1"/>
  <c r="DC114" i="1"/>
  <c r="DB114" i="1"/>
  <c r="DA114" i="1"/>
  <c r="CZ114" i="1"/>
  <c r="CY114" i="1"/>
  <c r="CX114" i="1"/>
  <c r="CW114" i="1"/>
  <c r="CV114" i="1"/>
  <c r="CT114" i="1"/>
  <c r="CS114" i="1"/>
  <c r="BY114" i="1"/>
  <c r="CU114" i="1" s="1"/>
  <c r="BV114" i="1"/>
  <c r="BU114" i="1" s="1"/>
  <c r="CQ114" i="1" s="1"/>
  <c r="BT114" i="1"/>
  <c r="BS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B114" i="1"/>
  <c r="BA114" i="1"/>
  <c r="AG114" i="1"/>
  <c r="AD114" i="1" s="1"/>
  <c r="G114" i="1"/>
  <c r="DN113" i="1"/>
  <c r="DL113" i="1"/>
  <c r="DK113" i="1"/>
  <c r="DJ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T113" i="1"/>
  <c r="CS113" i="1"/>
  <c r="BY113" i="1"/>
  <c r="BV113" i="1" s="1"/>
  <c r="BU113" i="1" s="1"/>
  <c r="CQ113" i="1" s="1"/>
  <c r="BT113" i="1"/>
  <c r="BS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B113" i="1"/>
  <c r="BA113" i="1"/>
  <c r="AG113" i="1"/>
  <c r="AD113" i="1" s="1"/>
  <c r="G113" i="1"/>
  <c r="DK112" i="1"/>
  <c r="DJ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P112" i="1"/>
  <c r="BV112" i="1" s="1"/>
  <c r="BY112" i="1"/>
  <c r="BS112" i="1"/>
  <c r="BS133" i="1" s="1"/>
  <c r="BP112" i="1"/>
  <c r="BO112" i="1"/>
  <c r="BO133" i="1" s="1"/>
  <c r="BN112" i="1"/>
  <c r="BM112" i="1"/>
  <c r="BL112" i="1"/>
  <c r="BJ112" i="1"/>
  <c r="BI112" i="1"/>
  <c r="BI133" i="1" s="1"/>
  <c r="BH112" i="1"/>
  <c r="BG112" i="1"/>
  <c r="BF112" i="1"/>
  <c r="BE112" i="1"/>
  <c r="BD112" i="1"/>
  <c r="BB112" i="1"/>
  <c r="BA112" i="1"/>
  <c r="BA133" i="1" s="1"/>
  <c r="AX112" i="1"/>
  <c r="AO112" i="1"/>
  <c r="AG112" i="1"/>
  <c r="AA112" i="1"/>
  <c r="BT112" i="1" s="1"/>
  <c r="R112" i="1"/>
  <c r="R133" i="1" s="1"/>
  <c r="G112" i="1"/>
  <c r="DL111" i="1"/>
  <c r="DK111" i="1"/>
  <c r="DJ111" i="1"/>
  <c r="DH111" i="1"/>
  <c r="DG111" i="1"/>
  <c r="DF111" i="1"/>
  <c r="DE111" i="1"/>
  <c r="DD111" i="1"/>
  <c r="DB111" i="1"/>
  <c r="DA111" i="1"/>
  <c r="CZ111" i="1"/>
  <c r="CY111" i="1"/>
  <c r="CX111" i="1"/>
  <c r="CW111" i="1"/>
  <c r="CU111" i="1"/>
  <c r="CT111" i="1"/>
  <c r="CS111" i="1"/>
  <c r="CG111" i="1"/>
  <c r="BZ111" i="1"/>
  <c r="BT111" i="1"/>
  <c r="BS111" i="1"/>
  <c r="BP111" i="1"/>
  <c r="BO111" i="1"/>
  <c r="BN111" i="1"/>
  <c r="BM111" i="1"/>
  <c r="BL111" i="1"/>
  <c r="BJ111" i="1"/>
  <c r="BI111" i="1"/>
  <c r="BH111" i="1"/>
  <c r="BG111" i="1"/>
  <c r="BF111" i="1"/>
  <c r="BE111" i="1"/>
  <c r="BC111" i="1"/>
  <c r="BB111" i="1"/>
  <c r="BA111" i="1"/>
  <c r="AO111" i="1"/>
  <c r="AH111" i="1"/>
  <c r="R111" i="1"/>
  <c r="G111" i="1"/>
  <c r="DN111" i="1" s="1"/>
  <c r="DK110" i="1"/>
  <c r="DJ110" i="1"/>
  <c r="DH110" i="1"/>
  <c r="DG110" i="1"/>
  <c r="DF110" i="1"/>
  <c r="DE110" i="1"/>
  <c r="DD110" i="1"/>
  <c r="DA110" i="1"/>
  <c r="CZ110" i="1"/>
  <c r="CY110" i="1"/>
  <c r="CX110" i="1"/>
  <c r="CW110" i="1"/>
  <c r="CV110" i="1"/>
  <c r="CT110" i="1"/>
  <c r="CS110" i="1"/>
  <c r="CP110" i="1"/>
  <c r="DL110" i="1" s="1"/>
  <c r="CG110" i="1"/>
  <c r="BZ110" i="1"/>
  <c r="BY110" i="1"/>
  <c r="BS110" i="1"/>
  <c r="BP110" i="1"/>
  <c r="BO110" i="1"/>
  <c r="BO132" i="1" s="1"/>
  <c r="BN110" i="1"/>
  <c r="BM110" i="1"/>
  <c r="BL110" i="1"/>
  <c r="BI110" i="1"/>
  <c r="BH110" i="1"/>
  <c r="BG110" i="1"/>
  <c r="BF110" i="1"/>
  <c r="BE110" i="1"/>
  <c r="BB110" i="1"/>
  <c r="BA110" i="1"/>
  <c r="AX110" i="1"/>
  <c r="AO110" i="1"/>
  <c r="AH110" i="1"/>
  <c r="AG110" i="1"/>
  <c r="BC110" i="1" s="1"/>
  <c r="AA110" i="1"/>
  <c r="R110" i="1"/>
  <c r="Q110" i="1"/>
  <c r="G110" i="1" s="1"/>
  <c r="DN110" i="1" s="1"/>
  <c r="DK109" i="1"/>
  <c r="DJ109" i="1"/>
  <c r="DH109" i="1"/>
  <c r="DG109" i="1"/>
  <c r="DF109" i="1"/>
  <c r="DE109" i="1"/>
  <c r="DD109" i="1"/>
  <c r="DC109" i="1"/>
  <c r="DB109" i="1"/>
  <c r="DA109" i="1"/>
  <c r="CZ109" i="1"/>
  <c r="CX109" i="1"/>
  <c r="CW109" i="1"/>
  <c r="CV109" i="1"/>
  <c r="CT109" i="1"/>
  <c r="CS109" i="1"/>
  <c r="BY109" i="1"/>
  <c r="BV109" i="1" s="1"/>
  <c r="BT109" i="1"/>
  <c r="BS109" i="1"/>
  <c r="BP109" i="1"/>
  <c r="BO109" i="1"/>
  <c r="BN109" i="1"/>
  <c r="BM109" i="1"/>
  <c r="BL109" i="1"/>
  <c r="BL132" i="1" s="1"/>
  <c r="BJ109" i="1"/>
  <c r="BH109" i="1"/>
  <c r="BG109" i="1"/>
  <c r="BF109" i="1"/>
  <c r="BE109" i="1"/>
  <c r="BB109" i="1"/>
  <c r="BA109" i="1"/>
  <c r="AG109" i="1"/>
  <c r="AA109" i="1"/>
  <c r="R109" i="1"/>
  <c r="P109" i="1"/>
  <c r="BI109" i="1" s="1"/>
  <c r="O109" i="1"/>
  <c r="N109" i="1"/>
  <c r="N128" i="1" s="1"/>
  <c r="K109" i="1"/>
  <c r="J109" i="1"/>
  <c r="DI108" i="1"/>
  <c r="CO108" i="1"/>
  <c r="CN108" i="1"/>
  <c r="CJ108" i="1"/>
  <c r="CI108" i="1"/>
  <c r="CH108" i="1"/>
  <c r="CG108" i="1"/>
  <c r="CF108" i="1"/>
  <c r="CE108" i="1"/>
  <c r="CD108" i="1"/>
  <c r="CB108" i="1"/>
  <c r="CA108" i="1"/>
  <c r="BY108" i="1"/>
  <c r="BW108" i="1"/>
  <c r="BQ108" i="1"/>
  <c r="AW108" i="1"/>
  <c r="AV108" i="1"/>
  <c r="AU108" i="1"/>
  <c r="AR108" i="1"/>
  <c r="AQ108" i="1"/>
  <c r="AP108" i="1"/>
  <c r="AO108" i="1"/>
  <c r="AN108" i="1"/>
  <c r="AM108" i="1"/>
  <c r="AL108" i="1"/>
  <c r="AK108" i="1"/>
  <c r="AJ108" i="1"/>
  <c r="AH108" i="1"/>
  <c r="Z108" i="1"/>
  <c r="Y108" i="1"/>
  <c r="X108" i="1"/>
  <c r="W108" i="1"/>
  <c r="V108" i="1"/>
  <c r="U108" i="1"/>
  <c r="T108" i="1"/>
  <c r="S108" i="1"/>
  <c r="R108" i="1"/>
  <c r="Q108" i="1"/>
  <c r="Q130" i="1" s="1"/>
  <c r="P108" i="1"/>
  <c r="O108" i="1"/>
  <c r="N108" i="1"/>
  <c r="M108" i="1"/>
  <c r="L108" i="1"/>
  <c r="K108" i="1"/>
  <c r="I108" i="1"/>
  <c r="H108" i="1"/>
  <c r="DL107" i="1"/>
  <c r="DK107" i="1"/>
  <c r="DJ107" i="1"/>
  <c r="DH107" i="1"/>
  <c r="DF107" i="1"/>
  <c r="DE107" i="1"/>
  <c r="DD107" i="1"/>
  <c r="DC107" i="1"/>
  <c r="DB107" i="1"/>
  <c r="DA107" i="1"/>
  <c r="CZ107" i="1"/>
  <c r="CY107" i="1"/>
  <c r="CX107" i="1"/>
  <c r="CW107" i="1"/>
  <c r="CV107" i="1"/>
  <c r="CT107" i="1"/>
  <c r="CS107" i="1"/>
  <c r="CK107" i="1"/>
  <c r="BV107" i="1" s="1"/>
  <c r="BT107" i="1"/>
  <c r="BS107" i="1"/>
  <c r="BP107" i="1"/>
  <c r="BN107" i="1"/>
  <c r="BM107" i="1"/>
  <c r="BL107" i="1"/>
  <c r="BK107" i="1"/>
  <c r="BJ107" i="1"/>
  <c r="BI107" i="1"/>
  <c r="BH107" i="1"/>
  <c r="BG107" i="1"/>
  <c r="BF107" i="1"/>
  <c r="BE107" i="1"/>
  <c r="BD107" i="1"/>
  <c r="BB107" i="1"/>
  <c r="BA107" i="1"/>
  <c r="AS107" i="1"/>
  <c r="AS140" i="1" s="1"/>
  <c r="V107" i="1"/>
  <c r="J107" i="1"/>
  <c r="CU107" i="1" s="1"/>
  <c r="DL106" i="1"/>
  <c r="DK106" i="1"/>
  <c r="DJ106" i="1"/>
  <c r="DG106" i="1"/>
  <c r="DF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L106" i="1"/>
  <c r="DH106" i="1" s="1"/>
  <c r="BT106" i="1"/>
  <c r="BS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T106" i="1"/>
  <c r="BP106" i="1" s="1"/>
  <c r="AZ106" i="1" s="1"/>
  <c r="AD106" i="1"/>
  <c r="AC106" i="1" s="1"/>
  <c r="AY106" i="1" s="1"/>
  <c r="G106" i="1"/>
  <c r="DN106" i="1" s="1"/>
  <c r="DN105" i="1"/>
  <c r="DL105" i="1"/>
  <c r="DK105" i="1"/>
  <c r="DJ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L105" i="1"/>
  <c r="DH105" i="1" s="1"/>
  <c r="BT105" i="1"/>
  <c r="BS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T105" i="1"/>
  <c r="BP105" i="1" s="1"/>
  <c r="AD105" i="1"/>
  <c r="AC105" i="1" s="1"/>
  <c r="AY105" i="1" s="1"/>
  <c r="G105" i="1"/>
  <c r="DL104" i="1"/>
  <c r="DK104" i="1"/>
  <c r="DJ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S104" i="1"/>
  <c r="BX104" i="1"/>
  <c r="BV104" i="1" s="1"/>
  <c r="BT104" i="1"/>
  <c r="BS104" i="1"/>
  <c r="BO104" i="1"/>
  <c r="BN104" i="1"/>
  <c r="BM104" i="1"/>
  <c r="BL104" i="1"/>
  <c r="BK104" i="1"/>
  <c r="BJ104" i="1"/>
  <c r="BI104" i="1"/>
  <c r="BH104" i="1"/>
  <c r="BG104" i="1"/>
  <c r="BF104" i="1"/>
  <c r="BD104" i="1"/>
  <c r="BA104" i="1"/>
  <c r="AT104" i="1"/>
  <c r="BP104" i="1" s="1"/>
  <c r="AI104" i="1"/>
  <c r="AI140" i="1" s="1"/>
  <c r="AG104" i="1"/>
  <c r="AF104" i="1"/>
  <c r="G104" i="1"/>
  <c r="DN104" i="1" s="1"/>
  <c r="DL103" i="1"/>
  <c r="DK103" i="1"/>
  <c r="DJ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P103" i="1"/>
  <c r="CL103" i="1"/>
  <c r="DH103" i="1" s="1"/>
  <c r="BS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X103" i="1"/>
  <c r="BT103" i="1" s="1"/>
  <c r="AT103" i="1"/>
  <c r="AA103" i="1"/>
  <c r="G103" i="1"/>
  <c r="DN103" i="1" s="1"/>
  <c r="DL102" i="1"/>
  <c r="DK102" i="1"/>
  <c r="DJ102" i="1"/>
  <c r="DG102" i="1"/>
  <c r="DF102" i="1"/>
  <c r="DE102" i="1"/>
  <c r="DD102" i="1"/>
  <c r="DC102" i="1"/>
  <c r="DC108" i="1" s="1"/>
  <c r="DB102" i="1"/>
  <c r="DA102" i="1"/>
  <c r="CZ102" i="1"/>
  <c r="CY102" i="1"/>
  <c r="CX102" i="1"/>
  <c r="CW102" i="1"/>
  <c r="CV102" i="1"/>
  <c r="CU102" i="1"/>
  <c r="CU108" i="1" s="1"/>
  <c r="CT102" i="1"/>
  <c r="CS102" i="1"/>
  <c r="CP102" i="1"/>
  <c r="CL102" i="1"/>
  <c r="BS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X102" i="1"/>
  <c r="BT102" i="1" s="1"/>
  <c r="AT102" i="1"/>
  <c r="AA102" i="1"/>
  <c r="DL101" i="1"/>
  <c r="DK101" i="1"/>
  <c r="DJ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Q101" i="1"/>
  <c r="CL101" i="1"/>
  <c r="BV101" i="1"/>
  <c r="BU101" i="1" s="1"/>
  <c r="BT101" i="1"/>
  <c r="BS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T101" i="1"/>
  <c r="BP101" i="1" s="1"/>
  <c r="AD101" i="1"/>
  <c r="AA101" i="1"/>
  <c r="G101" i="1"/>
  <c r="DN101" i="1" s="1"/>
  <c r="DN100" i="1"/>
  <c r="DL100" i="1"/>
  <c r="DK100" i="1"/>
  <c r="DJ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L100" i="1"/>
  <c r="DH100" i="1" s="1"/>
  <c r="BT100" i="1"/>
  <c r="BS100" i="1"/>
  <c r="BR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T100" i="1"/>
  <c r="G100" i="1"/>
  <c r="DL99" i="1"/>
  <c r="DK99" i="1"/>
  <c r="DJ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BV99" i="1"/>
  <c r="BU99" i="1"/>
  <c r="CQ99" i="1" s="1"/>
  <c r="BT99" i="1"/>
  <c r="BS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DO99" i="1" s="1"/>
  <c r="AY99" i="1"/>
  <c r="AD99" i="1"/>
  <c r="AC99" i="1"/>
  <c r="G99" i="1"/>
  <c r="DN99" i="1" s="1"/>
  <c r="DN98" i="1"/>
  <c r="DL98" i="1"/>
  <c r="DK98" i="1"/>
  <c r="DJ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L98" i="1"/>
  <c r="BV98" i="1" s="1"/>
  <c r="BU98" i="1" s="1"/>
  <c r="CQ98" i="1" s="1"/>
  <c r="BT98" i="1"/>
  <c r="BS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T98" i="1"/>
  <c r="BP98" i="1" s="1"/>
  <c r="G98" i="1"/>
  <c r="DL97" i="1"/>
  <c r="DK97" i="1"/>
  <c r="DJ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L97" i="1"/>
  <c r="BT97" i="1"/>
  <c r="BS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T97" i="1"/>
  <c r="BP97" i="1" s="1"/>
  <c r="G97" i="1"/>
  <c r="DN97" i="1" s="1"/>
  <c r="DK96" i="1"/>
  <c r="DJ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P96" i="1"/>
  <c r="CP108" i="1" s="1"/>
  <c r="BS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X96" i="1"/>
  <c r="AT96" i="1"/>
  <c r="AA96" i="1"/>
  <c r="G96" i="1" s="1"/>
  <c r="DN96" i="1" s="1"/>
  <c r="DL95" i="1"/>
  <c r="DK95" i="1"/>
  <c r="DJ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L95" i="1"/>
  <c r="DH95" i="1" s="1"/>
  <c r="BT95" i="1"/>
  <c r="BS95" i="1"/>
  <c r="BO95" i="1"/>
  <c r="BN95" i="1"/>
  <c r="BM95" i="1"/>
  <c r="BL95" i="1"/>
  <c r="BK95" i="1"/>
  <c r="BJ95" i="1"/>
  <c r="BI95" i="1"/>
  <c r="BI140" i="1" s="1"/>
  <c r="BH95" i="1"/>
  <c r="BG95" i="1"/>
  <c r="BF95" i="1"/>
  <c r="BE95" i="1"/>
  <c r="BD95" i="1"/>
  <c r="BC95" i="1"/>
  <c r="BB95" i="1"/>
  <c r="BA95" i="1"/>
  <c r="AT95" i="1"/>
  <c r="BP95" i="1" s="1"/>
  <c r="AD95" i="1"/>
  <c r="G95" i="1"/>
  <c r="DN95" i="1" s="1"/>
  <c r="DL94" i="1"/>
  <c r="DK94" i="1"/>
  <c r="DJ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L94" i="1"/>
  <c r="BV94" i="1" s="1"/>
  <c r="BU94" i="1" s="1"/>
  <c r="CQ94" i="1" s="1"/>
  <c r="BT94" i="1"/>
  <c r="BS94" i="1"/>
  <c r="BO94" i="1"/>
  <c r="BN94" i="1"/>
  <c r="BM94" i="1"/>
  <c r="BM108" i="1" s="1"/>
  <c r="BL94" i="1"/>
  <c r="BL108" i="1" s="1"/>
  <c r="BK94" i="1"/>
  <c r="BJ94" i="1"/>
  <c r="BI94" i="1"/>
  <c r="BH94" i="1"/>
  <c r="BG94" i="1"/>
  <c r="BF94" i="1"/>
  <c r="BE94" i="1"/>
  <c r="BD94" i="1"/>
  <c r="BC94" i="1"/>
  <c r="BB94" i="1"/>
  <c r="BA94" i="1"/>
  <c r="AT94" i="1"/>
  <c r="BP94" i="1" s="1"/>
  <c r="AD94" i="1"/>
  <c r="AC94" i="1" s="1"/>
  <c r="AY94" i="1" s="1"/>
  <c r="G94" i="1"/>
  <c r="DN94" i="1" s="1"/>
  <c r="DN93" i="1"/>
  <c r="DL93" i="1"/>
  <c r="DK93" i="1"/>
  <c r="DJ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L93" i="1"/>
  <c r="BV93" i="1" s="1"/>
  <c r="BU93" i="1" s="1"/>
  <c r="CQ93" i="1" s="1"/>
  <c r="BT93" i="1"/>
  <c r="BS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T93" i="1"/>
  <c r="BP93" i="1" s="1"/>
  <c r="AD93" i="1"/>
  <c r="G93" i="1"/>
  <c r="DP92" i="1"/>
  <c r="DO92" i="1"/>
  <c r="DN92" i="1"/>
  <c r="DI91" i="1"/>
  <c r="CO91" i="1"/>
  <c r="CN91" i="1"/>
  <c r="CL91" i="1"/>
  <c r="CK91" i="1"/>
  <c r="CJ91" i="1"/>
  <c r="CG91" i="1"/>
  <c r="CF91" i="1"/>
  <c r="CE91" i="1"/>
  <c r="CD91" i="1"/>
  <c r="CC91" i="1"/>
  <c r="BZ91" i="1"/>
  <c r="BY91" i="1"/>
  <c r="BX91" i="1"/>
  <c r="BW91" i="1"/>
  <c r="BQ91" i="1"/>
  <c r="AW91" i="1"/>
  <c r="AV91" i="1"/>
  <c r="AU91" i="1"/>
  <c r="AT91" i="1"/>
  <c r="AS91" i="1"/>
  <c r="AR91" i="1"/>
  <c r="AO91" i="1"/>
  <c r="AN91" i="1"/>
  <c r="AM91" i="1"/>
  <c r="AL91" i="1"/>
  <c r="AK91" i="1"/>
  <c r="AH91" i="1"/>
  <c r="AG91" i="1"/>
  <c r="AF91" i="1"/>
  <c r="AA91" i="1"/>
  <c r="Z91" i="1"/>
  <c r="Y91" i="1"/>
  <c r="X91" i="1"/>
  <c r="W91" i="1"/>
  <c r="V91" i="1"/>
  <c r="U91" i="1"/>
  <c r="S91" i="1"/>
  <c r="R91" i="1"/>
  <c r="Q91" i="1"/>
  <c r="P91" i="1"/>
  <c r="O91" i="1"/>
  <c r="N91" i="1"/>
  <c r="K91" i="1"/>
  <c r="J91" i="1"/>
  <c r="I91" i="1"/>
  <c r="H91" i="1"/>
  <c r="DK90" i="1"/>
  <c r="DJ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P90" i="1"/>
  <c r="BV90" i="1" s="1"/>
  <c r="BU90" i="1"/>
  <c r="CQ90" i="1" s="1"/>
  <c r="BS90" i="1"/>
  <c r="BR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X90" i="1"/>
  <c r="AD90" i="1" s="1"/>
  <c r="AA90" i="1"/>
  <c r="G90" i="1" s="1"/>
  <c r="DN90" i="1" s="1"/>
  <c r="DN89" i="1"/>
  <c r="DL89" i="1"/>
  <c r="DK89" i="1"/>
  <c r="DJ89" i="1"/>
  <c r="DH89" i="1"/>
  <c r="DG89" i="1"/>
  <c r="DF89" i="1"/>
  <c r="DD89" i="1"/>
  <c r="DC89" i="1"/>
  <c r="DB89" i="1"/>
  <c r="DA89" i="1"/>
  <c r="CZ89" i="1"/>
  <c r="CY89" i="1"/>
  <c r="CX89" i="1"/>
  <c r="CV89" i="1"/>
  <c r="CU89" i="1"/>
  <c r="CT89" i="1"/>
  <c r="CS89" i="1"/>
  <c r="CI89" i="1"/>
  <c r="DE89" i="1" s="1"/>
  <c r="CA89" i="1"/>
  <c r="CW89" i="1" s="1"/>
  <c r="BT89" i="1"/>
  <c r="BS89" i="1"/>
  <c r="BR89" i="1"/>
  <c r="BP89" i="1"/>
  <c r="BO89" i="1"/>
  <c r="BN89" i="1"/>
  <c r="BL89" i="1"/>
  <c r="BK89" i="1"/>
  <c r="BJ89" i="1"/>
  <c r="BI89" i="1"/>
  <c r="BH89" i="1"/>
  <c r="BG89" i="1"/>
  <c r="BF89" i="1"/>
  <c r="BD89" i="1"/>
  <c r="BC89" i="1"/>
  <c r="BB89" i="1"/>
  <c r="BA89" i="1"/>
  <c r="AQ89" i="1"/>
  <c r="BM89" i="1" s="1"/>
  <c r="AI89" i="1"/>
  <c r="G89" i="1"/>
  <c r="DK88" i="1"/>
  <c r="DJ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BV88" i="1"/>
  <c r="BS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D88" i="1"/>
  <c r="AA88" i="1"/>
  <c r="DN87" i="1"/>
  <c r="DL87" i="1"/>
  <c r="DK87" i="1"/>
  <c r="DJ87" i="1"/>
  <c r="DH87" i="1"/>
  <c r="DG87" i="1"/>
  <c r="DF87" i="1"/>
  <c r="DE87" i="1"/>
  <c r="DD87" i="1"/>
  <c r="DC87" i="1"/>
  <c r="DB87" i="1"/>
  <c r="DA87" i="1"/>
  <c r="CZ87" i="1"/>
  <c r="CY87" i="1"/>
  <c r="CX87" i="1"/>
  <c r="CV87" i="1"/>
  <c r="CU87" i="1"/>
  <c r="CT87" i="1"/>
  <c r="CS87" i="1"/>
  <c r="CA87" i="1"/>
  <c r="CW87" i="1" s="1"/>
  <c r="CR87" i="1" s="1"/>
  <c r="BT87" i="1"/>
  <c r="BS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AZ87" i="1" s="1"/>
  <c r="BD87" i="1"/>
  <c r="BC87" i="1"/>
  <c r="BB87" i="1"/>
  <c r="BA87" i="1"/>
  <c r="AI87" i="1"/>
  <c r="AD87" i="1"/>
  <c r="G87" i="1"/>
  <c r="DL86" i="1"/>
  <c r="DK86" i="1"/>
  <c r="DJ86" i="1"/>
  <c r="DH86" i="1"/>
  <c r="DG86" i="1"/>
  <c r="DF86" i="1"/>
  <c r="DE86" i="1"/>
  <c r="DD86" i="1"/>
  <c r="DC86" i="1"/>
  <c r="DB86" i="1"/>
  <c r="DA86" i="1"/>
  <c r="CZ86" i="1"/>
  <c r="CY86" i="1"/>
  <c r="CX86" i="1"/>
  <c r="CV86" i="1"/>
  <c r="CU86" i="1"/>
  <c r="CT86" i="1"/>
  <c r="CS86" i="1"/>
  <c r="CA86" i="1"/>
  <c r="BT86" i="1"/>
  <c r="BS86" i="1"/>
  <c r="BP86" i="1"/>
  <c r="BO86" i="1"/>
  <c r="BN86" i="1"/>
  <c r="BM86" i="1"/>
  <c r="BL86" i="1"/>
  <c r="BK86" i="1"/>
  <c r="BJ86" i="1"/>
  <c r="BI86" i="1"/>
  <c r="BH86" i="1"/>
  <c r="BG86" i="1"/>
  <c r="BF86" i="1"/>
  <c r="BD86" i="1"/>
  <c r="BC86" i="1"/>
  <c r="BB86" i="1"/>
  <c r="BA86" i="1"/>
  <c r="AI86" i="1"/>
  <c r="BE86" i="1" s="1"/>
  <c r="G86" i="1"/>
  <c r="DN86" i="1" s="1"/>
  <c r="DN85" i="1"/>
  <c r="DL85" i="1"/>
  <c r="DK85" i="1"/>
  <c r="DJ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BV85" i="1"/>
  <c r="BT85" i="1"/>
  <c r="BS85" i="1"/>
  <c r="BR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 s="1"/>
  <c r="AD85" i="1"/>
  <c r="G85" i="1"/>
  <c r="DN84" i="1"/>
  <c r="DL84" i="1"/>
  <c r="DK84" i="1"/>
  <c r="DJ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BV84" i="1"/>
  <c r="BT84" i="1"/>
  <c r="BS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D84" i="1"/>
  <c r="G84" i="1"/>
  <c r="DN83" i="1"/>
  <c r="DL83" i="1"/>
  <c r="DK83" i="1"/>
  <c r="DJ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I83" i="1"/>
  <c r="CI91" i="1" s="1"/>
  <c r="BV83" i="1"/>
  <c r="BT83" i="1"/>
  <c r="BS83" i="1"/>
  <c r="BR83" i="1"/>
  <c r="BP83" i="1"/>
  <c r="BO83" i="1"/>
  <c r="BN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Q83" i="1"/>
  <c r="BM83" i="1" s="1"/>
  <c r="AI83" i="1"/>
  <c r="G83" i="1"/>
  <c r="DL82" i="1"/>
  <c r="DK82" i="1"/>
  <c r="DJ82" i="1"/>
  <c r="DH82" i="1"/>
  <c r="DG82" i="1"/>
  <c r="DF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BV82" i="1"/>
  <c r="BT82" i="1"/>
  <c r="BS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AZ82" i="1" s="1"/>
  <c r="BC82" i="1"/>
  <c r="BB82" i="1"/>
  <c r="BA82" i="1"/>
  <c r="AD82" i="1"/>
  <c r="T82" i="1"/>
  <c r="DN81" i="1"/>
  <c r="DL81" i="1"/>
  <c r="DK81" i="1"/>
  <c r="DJ81" i="1"/>
  <c r="DH81" i="1"/>
  <c r="DG81" i="1"/>
  <c r="DF81" i="1"/>
  <c r="DE81" i="1"/>
  <c r="DD81" i="1"/>
  <c r="DC81" i="1"/>
  <c r="DB81" i="1"/>
  <c r="DA81" i="1"/>
  <c r="CZ81" i="1"/>
  <c r="CY81" i="1"/>
  <c r="CX81" i="1"/>
  <c r="CV81" i="1"/>
  <c r="CU81" i="1"/>
  <c r="CT81" i="1"/>
  <c r="CS81" i="1"/>
  <c r="CA81" i="1"/>
  <c r="CW81" i="1" s="1"/>
  <c r="BT81" i="1"/>
  <c r="BS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I81" i="1"/>
  <c r="AD81" i="1"/>
  <c r="G81" i="1"/>
  <c r="DN80" i="1"/>
  <c r="DL80" i="1"/>
  <c r="DK80" i="1"/>
  <c r="DJ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BV80" i="1"/>
  <c r="BU80" i="1" s="1"/>
  <c r="CQ80" i="1" s="1"/>
  <c r="BT80" i="1"/>
  <c r="BS80" i="1"/>
  <c r="BP80" i="1"/>
  <c r="BO80" i="1"/>
  <c r="BN80" i="1"/>
  <c r="BM80" i="1"/>
  <c r="BL80" i="1"/>
  <c r="BK80" i="1"/>
  <c r="BJ80" i="1"/>
  <c r="BI80" i="1"/>
  <c r="BH80" i="1"/>
  <c r="BG80" i="1"/>
  <c r="BF80" i="1"/>
  <c r="BD80" i="1"/>
  <c r="BC80" i="1"/>
  <c r="BB80" i="1"/>
  <c r="BA80" i="1"/>
  <c r="AI80" i="1"/>
  <c r="BE80" i="1" s="1"/>
  <c r="AD80" i="1"/>
  <c r="G80" i="1"/>
  <c r="DL79" i="1"/>
  <c r="DK79" i="1"/>
  <c r="DJ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 s="1"/>
  <c r="DP79" i="1" s="1"/>
  <c r="BV79" i="1"/>
  <c r="BT79" i="1"/>
  <c r="BS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D79" i="1"/>
  <c r="G79" i="1"/>
  <c r="DL78" i="1"/>
  <c r="DK78" i="1"/>
  <c r="DJ78" i="1"/>
  <c r="DH78" i="1"/>
  <c r="DG78" i="1"/>
  <c r="DF78" i="1"/>
  <c r="DE78" i="1"/>
  <c r="DD78" i="1"/>
  <c r="DC78" i="1"/>
  <c r="DB78" i="1"/>
  <c r="DA78" i="1"/>
  <c r="CZ78" i="1"/>
  <c r="CY78" i="1"/>
  <c r="CX78" i="1"/>
  <c r="CV78" i="1"/>
  <c r="CU78" i="1"/>
  <c r="CT78" i="1"/>
  <c r="CS78" i="1"/>
  <c r="CA78" i="1"/>
  <c r="BT78" i="1"/>
  <c r="BS78" i="1"/>
  <c r="BP78" i="1"/>
  <c r="BO78" i="1"/>
  <c r="BN78" i="1"/>
  <c r="BM78" i="1"/>
  <c r="BL78" i="1"/>
  <c r="BK78" i="1"/>
  <c r="BJ78" i="1"/>
  <c r="BI78" i="1"/>
  <c r="BH78" i="1"/>
  <c r="BG78" i="1"/>
  <c r="BF78" i="1"/>
  <c r="BD78" i="1"/>
  <c r="BC78" i="1"/>
  <c r="BB78" i="1"/>
  <c r="BA78" i="1"/>
  <c r="AI78" i="1"/>
  <c r="BE78" i="1" s="1"/>
  <c r="AZ78" i="1" s="1"/>
  <c r="AD78" i="1"/>
  <c r="G78" i="1"/>
  <c r="DN78" i="1" s="1"/>
  <c r="DN77" i="1"/>
  <c r="DL77" i="1"/>
  <c r="DH77" i="1"/>
  <c r="DG77" i="1"/>
  <c r="DF77" i="1"/>
  <c r="DE77" i="1"/>
  <c r="DD77" i="1"/>
  <c r="DC77" i="1"/>
  <c r="CV77" i="1"/>
  <c r="CU77" i="1"/>
  <c r="CT77" i="1"/>
  <c r="CS77" i="1"/>
  <c r="CA77" i="1"/>
  <c r="CW77" i="1" s="1"/>
  <c r="BT77" i="1"/>
  <c r="BS77" i="1"/>
  <c r="BP77" i="1"/>
  <c r="BO77" i="1"/>
  <c r="BN77" i="1"/>
  <c r="BM77" i="1"/>
  <c r="BL77" i="1"/>
  <c r="BK77" i="1"/>
  <c r="BD77" i="1"/>
  <c r="BC77" i="1"/>
  <c r="BB77" i="1"/>
  <c r="BA77" i="1"/>
  <c r="AI77" i="1"/>
  <c r="G77" i="1"/>
  <c r="DL76" i="1"/>
  <c r="DH76" i="1"/>
  <c r="DG76" i="1"/>
  <c r="DF76" i="1"/>
  <c r="DE76" i="1"/>
  <c r="DD76" i="1"/>
  <c r="DC76" i="1"/>
  <c r="CV76" i="1"/>
  <c r="CU76" i="1"/>
  <c r="CT76" i="1"/>
  <c r="CS76" i="1"/>
  <c r="BV76" i="1"/>
  <c r="BT76" i="1"/>
  <c r="BS76" i="1"/>
  <c r="BP76" i="1"/>
  <c r="BO76" i="1"/>
  <c r="BN76" i="1"/>
  <c r="BM76" i="1"/>
  <c r="BL76" i="1"/>
  <c r="BK76" i="1"/>
  <c r="BD76" i="1"/>
  <c r="BC76" i="1"/>
  <c r="BB76" i="1"/>
  <c r="BA76" i="1"/>
  <c r="AI76" i="1"/>
  <c r="AD76" i="1" s="1"/>
  <c r="L76" i="1"/>
  <c r="DL75" i="1"/>
  <c r="DH75" i="1"/>
  <c r="DG75" i="1"/>
  <c r="DF75" i="1"/>
  <c r="DE75" i="1"/>
  <c r="DD75" i="1"/>
  <c r="DC75" i="1"/>
  <c r="CW75" i="1"/>
  <c r="CV75" i="1"/>
  <c r="CU75" i="1"/>
  <c r="CT75" i="1"/>
  <c r="CS75" i="1"/>
  <c r="CR75" i="1" s="1"/>
  <c r="BV75" i="1"/>
  <c r="BT75" i="1"/>
  <c r="BS75" i="1"/>
  <c r="BP75" i="1"/>
  <c r="BO75" i="1"/>
  <c r="BM75" i="1"/>
  <c r="BL75" i="1"/>
  <c r="BK75" i="1"/>
  <c r="BE75" i="1"/>
  <c r="BD75" i="1"/>
  <c r="BC75" i="1"/>
  <c r="BB75" i="1"/>
  <c r="BA75" i="1"/>
  <c r="AZ75" i="1"/>
  <c r="AD75" i="1"/>
  <c r="G75" i="1"/>
  <c r="DN75" i="1" s="1"/>
  <c r="DN74" i="1"/>
  <c r="DL74" i="1"/>
  <c r="DH74" i="1"/>
  <c r="DG74" i="1"/>
  <c r="DF74" i="1"/>
  <c r="DE74" i="1"/>
  <c r="DD74" i="1"/>
  <c r="DC74" i="1"/>
  <c r="CW74" i="1"/>
  <c r="CV74" i="1"/>
  <c r="CU74" i="1"/>
  <c r="CT74" i="1"/>
  <c r="CS74" i="1"/>
  <c r="BV74" i="1"/>
  <c r="BU74" i="1"/>
  <c r="CQ74" i="1" s="1"/>
  <c r="BT74" i="1"/>
  <c r="BS74" i="1"/>
  <c r="BP74" i="1"/>
  <c r="BO74" i="1"/>
  <c r="BM74" i="1"/>
  <c r="BL74" i="1"/>
  <c r="BK74" i="1"/>
  <c r="BE74" i="1"/>
  <c r="BD74" i="1"/>
  <c r="BC74" i="1"/>
  <c r="BB74" i="1"/>
  <c r="BA74" i="1"/>
  <c r="AD74" i="1"/>
  <c r="AC74" i="1"/>
  <c r="AY74" i="1" s="1"/>
  <c r="G74" i="1"/>
  <c r="DK73" i="1"/>
  <c r="DJ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P73" i="1"/>
  <c r="DL73" i="1" s="1"/>
  <c r="BS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X73" i="1"/>
  <c r="AD73" i="1" s="1"/>
  <c r="AA73" i="1"/>
  <c r="G73" i="1"/>
  <c r="DN73" i="1" s="1"/>
  <c r="DL72" i="1"/>
  <c r="DK72" i="1"/>
  <c r="DJ72" i="1"/>
  <c r="DH72" i="1"/>
  <c r="DG72" i="1"/>
  <c r="DF72" i="1"/>
  <c r="DE72" i="1"/>
  <c r="DD72" i="1"/>
  <c r="DC72" i="1"/>
  <c r="DB72" i="1"/>
  <c r="DA72" i="1"/>
  <c r="CZ72" i="1"/>
  <c r="CY72" i="1"/>
  <c r="CX72" i="1"/>
  <c r="CV72" i="1"/>
  <c r="CU72" i="1"/>
  <c r="CT72" i="1"/>
  <c r="CS72" i="1"/>
  <c r="CA72" i="1"/>
  <c r="CW72" i="1" s="1"/>
  <c r="BT72" i="1"/>
  <c r="BS72" i="1"/>
  <c r="BP72" i="1"/>
  <c r="BO72" i="1"/>
  <c r="BN72" i="1"/>
  <c r="BM72" i="1"/>
  <c r="BL72" i="1"/>
  <c r="BK72" i="1"/>
  <c r="BJ72" i="1"/>
  <c r="BI72" i="1"/>
  <c r="BH72" i="1"/>
  <c r="BG72" i="1"/>
  <c r="BF72" i="1"/>
  <c r="BD72" i="1"/>
  <c r="BC72" i="1"/>
  <c r="BB72" i="1"/>
  <c r="BA72" i="1"/>
  <c r="AI72" i="1"/>
  <c r="G72" i="1"/>
  <c r="DN72" i="1" s="1"/>
  <c r="DL71" i="1"/>
  <c r="DK71" i="1"/>
  <c r="DJ71" i="1"/>
  <c r="DH71" i="1"/>
  <c r="DG71" i="1"/>
  <c r="DF71" i="1"/>
  <c r="DE71" i="1"/>
  <c r="DD71" i="1"/>
  <c r="DC71" i="1"/>
  <c r="DB71" i="1"/>
  <c r="DA71" i="1"/>
  <c r="CZ71" i="1"/>
  <c r="CY71" i="1"/>
  <c r="CX71" i="1"/>
  <c r="CV71" i="1"/>
  <c r="CU71" i="1"/>
  <c r="CT71" i="1"/>
  <c r="CS71" i="1"/>
  <c r="BV71" i="1"/>
  <c r="BT71" i="1"/>
  <c r="BS71" i="1"/>
  <c r="BP71" i="1"/>
  <c r="BO71" i="1"/>
  <c r="BN71" i="1"/>
  <c r="BM71" i="1"/>
  <c r="BL71" i="1"/>
  <c r="BK71" i="1"/>
  <c r="BJ71" i="1"/>
  <c r="BI71" i="1"/>
  <c r="BH71" i="1"/>
  <c r="BG71" i="1"/>
  <c r="BF71" i="1"/>
  <c r="BD71" i="1"/>
  <c r="BC71" i="1"/>
  <c r="BB71" i="1"/>
  <c r="BA71" i="1"/>
  <c r="AD71" i="1"/>
  <c r="L71" i="1"/>
  <c r="DL70" i="1"/>
  <c r="DK70" i="1"/>
  <c r="DJ70" i="1"/>
  <c r="DH70" i="1"/>
  <c r="DG70" i="1"/>
  <c r="DF70" i="1"/>
  <c r="DE70" i="1"/>
  <c r="DD70" i="1"/>
  <c r="DC70" i="1"/>
  <c r="DB70" i="1"/>
  <c r="DA70" i="1"/>
  <c r="CZ70" i="1"/>
  <c r="CY70" i="1"/>
  <c r="CX70" i="1"/>
  <c r="CV70" i="1"/>
  <c r="CU70" i="1"/>
  <c r="CT70" i="1"/>
  <c r="CS70" i="1"/>
  <c r="CA70" i="1"/>
  <c r="CW70" i="1" s="1"/>
  <c r="BT70" i="1"/>
  <c r="BS70" i="1"/>
  <c r="BR70" i="1"/>
  <c r="BP70" i="1"/>
  <c r="BO70" i="1"/>
  <c r="BN70" i="1"/>
  <c r="BM70" i="1"/>
  <c r="BL70" i="1"/>
  <c r="BK70" i="1"/>
  <c r="BJ70" i="1"/>
  <c r="BI70" i="1"/>
  <c r="BH70" i="1"/>
  <c r="BG70" i="1"/>
  <c r="BF70" i="1"/>
  <c r="BD70" i="1"/>
  <c r="BC70" i="1"/>
  <c r="BB70" i="1"/>
  <c r="BA70" i="1"/>
  <c r="AI70" i="1"/>
  <c r="BE70" i="1" s="1"/>
  <c r="G70" i="1"/>
  <c r="DN70" i="1" s="1"/>
  <c r="DN69" i="1"/>
  <c r="DL69" i="1"/>
  <c r="DK69" i="1"/>
  <c r="DJ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Q69" i="1"/>
  <c r="BV69" i="1"/>
  <c r="BU69" i="1"/>
  <c r="BT69" i="1"/>
  <c r="BS69" i="1"/>
  <c r="BR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D69" i="1"/>
  <c r="AC69" i="1"/>
  <c r="AY69" i="1" s="1"/>
  <c r="G69" i="1"/>
  <c r="DK68" i="1"/>
  <c r="DJ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P68" i="1"/>
  <c r="BV68" i="1" s="1"/>
  <c r="BS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X68" i="1"/>
  <c r="AD68" i="1" s="1"/>
  <c r="AA68" i="1"/>
  <c r="DL67" i="1"/>
  <c r="DK67" i="1"/>
  <c r="DJ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BV67" i="1"/>
  <c r="BT67" i="1"/>
  <c r="BS67" i="1"/>
  <c r="BR67" i="1"/>
  <c r="BR91" i="1" s="1"/>
  <c r="BP67" i="1"/>
  <c r="BO67" i="1"/>
  <c r="BN67" i="1"/>
  <c r="BM67" i="1"/>
  <c r="BL67" i="1"/>
  <c r="BK67" i="1"/>
  <c r="BJ67" i="1"/>
  <c r="BJ91" i="1" s="1"/>
  <c r="BI67" i="1"/>
  <c r="BH67" i="1"/>
  <c r="BG67" i="1"/>
  <c r="BF67" i="1"/>
  <c r="BE67" i="1"/>
  <c r="BD67" i="1"/>
  <c r="BC67" i="1"/>
  <c r="BB67" i="1"/>
  <c r="BB91" i="1" s="1"/>
  <c r="BA67" i="1"/>
  <c r="AD67" i="1"/>
  <c r="G67" i="1"/>
  <c r="DN66" i="1"/>
  <c r="DK66" i="1"/>
  <c r="DJ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R66" i="1" s="1"/>
  <c r="CV66" i="1"/>
  <c r="CU66" i="1"/>
  <c r="CT66" i="1"/>
  <c r="CS66" i="1"/>
  <c r="CP66" i="1"/>
  <c r="DL66" i="1" s="1"/>
  <c r="BV66" i="1"/>
  <c r="BS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X66" i="1"/>
  <c r="BT66" i="1" s="1"/>
  <c r="G66" i="1"/>
  <c r="DL65" i="1"/>
  <c r="CR65" i="1" s="1"/>
  <c r="DK65" i="1"/>
  <c r="DJ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P65" i="1"/>
  <c r="BV65" i="1" s="1"/>
  <c r="BS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X65" i="1"/>
  <c r="AD65" i="1" s="1"/>
  <c r="AA65" i="1"/>
  <c r="G65" i="1"/>
  <c r="DN65" i="1" s="1"/>
  <c r="DN64" i="1"/>
  <c r="DL64" i="1"/>
  <c r="DK64" i="1"/>
  <c r="DJ64" i="1"/>
  <c r="DH64" i="1"/>
  <c r="DG64" i="1"/>
  <c r="DF64" i="1"/>
  <c r="DE64" i="1"/>
  <c r="DC64" i="1"/>
  <c r="DB64" i="1"/>
  <c r="DA64" i="1"/>
  <c r="CZ64" i="1"/>
  <c r="CY64" i="1"/>
  <c r="CX64" i="1"/>
  <c r="CV64" i="1"/>
  <c r="CU64" i="1"/>
  <c r="CT64" i="1"/>
  <c r="CS64" i="1"/>
  <c r="CH64" i="1"/>
  <c r="CA64" i="1"/>
  <c r="BT64" i="1"/>
  <c r="BS64" i="1"/>
  <c r="BP64" i="1"/>
  <c r="BO64" i="1"/>
  <c r="BN64" i="1"/>
  <c r="BM64" i="1"/>
  <c r="BK64" i="1"/>
  <c r="BJ64" i="1"/>
  <c r="BI64" i="1"/>
  <c r="BH64" i="1"/>
  <c r="BG64" i="1"/>
  <c r="BF64" i="1"/>
  <c r="BD64" i="1"/>
  <c r="BC64" i="1"/>
  <c r="BB64" i="1"/>
  <c r="BA64" i="1"/>
  <c r="AP64" i="1"/>
  <c r="AI64" i="1"/>
  <c r="BE64" i="1" s="1"/>
  <c r="L64" i="1"/>
  <c r="G64" i="1"/>
  <c r="DL63" i="1"/>
  <c r="DK63" i="1"/>
  <c r="DK91" i="1" s="1"/>
  <c r="DJ63" i="1"/>
  <c r="DH63" i="1"/>
  <c r="DG63" i="1"/>
  <c r="DF63" i="1"/>
  <c r="DE63" i="1"/>
  <c r="DD63" i="1"/>
  <c r="DC63" i="1"/>
  <c r="DB63" i="1"/>
  <c r="DA63" i="1"/>
  <c r="CZ63" i="1"/>
  <c r="CY63" i="1"/>
  <c r="CX63" i="1"/>
  <c r="CV63" i="1"/>
  <c r="CU63" i="1"/>
  <c r="CT63" i="1"/>
  <c r="CT91" i="1" s="1"/>
  <c r="CS63" i="1"/>
  <c r="CA63" i="1"/>
  <c r="BV63" i="1" s="1"/>
  <c r="BT63" i="1"/>
  <c r="BS63" i="1"/>
  <c r="BP63" i="1"/>
  <c r="BO63" i="1"/>
  <c r="BN63" i="1"/>
  <c r="BM63" i="1"/>
  <c r="BL63" i="1"/>
  <c r="BK63" i="1"/>
  <c r="BJ63" i="1"/>
  <c r="BI63" i="1"/>
  <c r="BH63" i="1"/>
  <c r="BG63" i="1"/>
  <c r="BF63" i="1"/>
  <c r="BD63" i="1"/>
  <c r="BC63" i="1"/>
  <c r="BB63" i="1"/>
  <c r="BA63" i="1"/>
  <c r="AI63" i="1"/>
  <c r="AD63" i="1" s="1"/>
  <c r="L63" i="1"/>
  <c r="G63" i="1"/>
  <c r="DN63" i="1" s="1"/>
  <c r="DL62" i="1"/>
  <c r="DK62" i="1"/>
  <c r="DJ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I62" i="1"/>
  <c r="BV62" i="1" s="1"/>
  <c r="BT62" i="1"/>
  <c r="BS62" i="1"/>
  <c r="BR62" i="1"/>
  <c r="BP62" i="1"/>
  <c r="BO62" i="1"/>
  <c r="BN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Q62" i="1"/>
  <c r="BM62" i="1" s="1"/>
  <c r="G62" i="1"/>
  <c r="DN62" i="1" s="1"/>
  <c r="DK61" i="1"/>
  <c r="DJ61" i="1"/>
  <c r="DJ91" i="1" s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P61" i="1"/>
  <c r="DL61" i="1" s="1"/>
  <c r="BV61" i="1"/>
  <c r="BU61" i="1" s="1"/>
  <c r="CQ61" i="1" s="1"/>
  <c r="BT61" i="1"/>
  <c r="BS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C91" i="1" s="1"/>
  <c r="BB61" i="1"/>
  <c r="BA61" i="1"/>
  <c r="AX61" i="1"/>
  <c r="AD61" i="1" s="1"/>
  <c r="AC61" i="1" s="1"/>
  <c r="AY61" i="1" s="1"/>
  <c r="G61" i="1"/>
  <c r="DN61" i="1" s="1"/>
  <c r="DK60" i="1"/>
  <c r="DJ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P60" i="1"/>
  <c r="BS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X60" i="1"/>
  <c r="BT60" i="1" s="1"/>
  <c r="G60" i="1"/>
  <c r="DN60" i="1" s="1"/>
  <c r="DK59" i="1"/>
  <c r="DJ59" i="1"/>
  <c r="DH59" i="1"/>
  <c r="DG59" i="1"/>
  <c r="DF59" i="1"/>
  <c r="DE59" i="1"/>
  <c r="DD59" i="1"/>
  <c r="DC59" i="1"/>
  <c r="DB59" i="1"/>
  <c r="DA59" i="1"/>
  <c r="CZ59" i="1"/>
  <c r="CY59" i="1"/>
  <c r="CW59" i="1"/>
  <c r="CV59" i="1"/>
  <c r="CU59" i="1"/>
  <c r="CT59" i="1"/>
  <c r="CS59" i="1"/>
  <c r="CP59" i="1"/>
  <c r="CB59" i="1"/>
  <c r="BS59" i="1"/>
  <c r="BS137" i="1" s="1"/>
  <c r="BP59" i="1"/>
  <c r="BO59" i="1"/>
  <c r="BN59" i="1"/>
  <c r="BM59" i="1"/>
  <c r="BL59" i="1"/>
  <c r="BK59" i="1"/>
  <c r="BJ59" i="1"/>
  <c r="BI59" i="1"/>
  <c r="BH59" i="1"/>
  <c r="BG59" i="1"/>
  <c r="BE59" i="1"/>
  <c r="BD59" i="1"/>
  <c r="BC59" i="1"/>
  <c r="BB59" i="1"/>
  <c r="BA59" i="1"/>
  <c r="AX59" i="1"/>
  <c r="AJ59" i="1"/>
  <c r="AA59" i="1"/>
  <c r="AA137" i="1" s="1"/>
  <c r="M59" i="1"/>
  <c r="DI58" i="1"/>
  <c r="CN58" i="1"/>
  <c r="CM58" i="1"/>
  <c r="CM130" i="1" s="1"/>
  <c r="CL58" i="1"/>
  <c r="CJ58" i="1"/>
  <c r="CG58" i="1"/>
  <c r="CF58" i="1"/>
  <c r="CE58" i="1"/>
  <c r="CD58" i="1"/>
  <c r="CC58" i="1"/>
  <c r="CB58" i="1"/>
  <c r="CA58" i="1"/>
  <c r="BZ58" i="1"/>
  <c r="BX58" i="1"/>
  <c r="BW58" i="1"/>
  <c r="BQ58" i="1"/>
  <c r="BQ130" i="1" s="1"/>
  <c r="AV58" i="1"/>
  <c r="AU58" i="1"/>
  <c r="AT58" i="1"/>
  <c r="AR58" i="1"/>
  <c r="AO58" i="1"/>
  <c r="AN58" i="1"/>
  <c r="AM58" i="1"/>
  <c r="AL58" i="1"/>
  <c r="AK58" i="1"/>
  <c r="AJ58" i="1"/>
  <c r="AI58" i="1"/>
  <c r="AH58" i="1"/>
  <c r="AF58" i="1"/>
  <c r="Y58" i="1"/>
  <c r="X58" i="1"/>
  <c r="X130" i="1" s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I58" i="1"/>
  <c r="H58" i="1"/>
  <c r="DK57" i="1"/>
  <c r="DJ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P57" i="1"/>
  <c r="BV57" i="1" s="1"/>
  <c r="BS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X57" i="1"/>
  <c r="AD57" i="1" s="1"/>
  <c r="AC57" i="1" s="1"/>
  <c r="AY57" i="1" s="1"/>
  <c r="AA57" i="1"/>
  <c r="G57" i="1"/>
  <c r="DN57" i="1" s="1"/>
  <c r="DL56" i="1"/>
  <c r="DK56" i="1"/>
  <c r="DJ56" i="1"/>
  <c r="DH56" i="1"/>
  <c r="DG56" i="1"/>
  <c r="DF56" i="1"/>
  <c r="DE56" i="1"/>
  <c r="DD56" i="1"/>
  <c r="DC56" i="1"/>
  <c r="DB56" i="1"/>
  <c r="DA56" i="1"/>
  <c r="CZ56" i="1"/>
  <c r="CY56" i="1"/>
  <c r="CW56" i="1"/>
  <c r="CV56" i="1"/>
  <c r="CU56" i="1"/>
  <c r="CT56" i="1"/>
  <c r="CS56" i="1"/>
  <c r="CK56" i="1"/>
  <c r="BV56" i="1"/>
  <c r="BT56" i="1"/>
  <c r="BS56" i="1"/>
  <c r="BP56" i="1"/>
  <c r="BN56" i="1"/>
  <c r="BM56" i="1"/>
  <c r="BL56" i="1"/>
  <c r="BK56" i="1"/>
  <c r="BJ56" i="1"/>
  <c r="BI56" i="1"/>
  <c r="BH56" i="1"/>
  <c r="BG56" i="1"/>
  <c r="BE56" i="1"/>
  <c r="BD56" i="1"/>
  <c r="BC56" i="1"/>
  <c r="BB56" i="1"/>
  <c r="BA56" i="1"/>
  <c r="AS56" i="1"/>
  <c r="M56" i="1"/>
  <c r="G56" i="1"/>
  <c r="DL55" i="1"/>
  <c r="DK55" i="1"/>
  <c r="DJ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BV55" i="1"/>
  <c r="BT55" i="1"/>
  <c r="BS55" i="1"/>
  <c r="BP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S55" i="1"/>
  <c r="BO55" i="1" s="1"/>
  <c r="G55" i="1"/>
  <c r="DN55" i="1" s="1"/>
  <c r="DL54" i="1"/>
  <c r="DK54" i="1"/>
  <c r="DJ54" i="1"/>
  <c r="DH54" i="1"/>
  <c r="DF54" i="1"/>
  <c r="DE54" i="1"/>
  <c r="DD54" i="1"/>
  <c r="DC54" i="1"/>
  <c r="DB54" i="1"/>
  <c r="DA54" i="1"/>
  <c r="CZ54" i="1"/>
  <c r="CY54" i="1"/>
  <c r="CX54" i="1"/>
  <c r="CW54" i="1"/>
  <c r="CV54" i="1"/>
  <c r="CT54" i="1"/>
  <c r="CS54" i="1"/>
  <c r="CK54" i="1"/>
  <c r="DG54" i="1" s="1"/>
  <c r="BY54" i="1"/>
  <c r="BT54" i="1"/>
  <c r="BS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B54" i="1"/>
  <c r="BA54" i="1"/>
  <c r="AG54" i="1"/>
  <c r="AD54" i="1"/>
  <c r="J54" i="1"/>
  <c r="DL53" i="1"/>
  <c r="DK53" i="1"/>
  <c r="DJ53" i="1"/>
  <c r="DH53" i="1"/>
  <c r="DF53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K53" i="1"/>
  <c r="DG53" i="1" s="1"/>
  <c r="BT53" i="1"/>
  <c r="BS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D53" i="1"/>
  <c r="G53" i="1"/>
  <c r="DN53" i="1" s="1"/>
  <c r="DN52" i="1"/>
  <c r="DL52" i="1"/>
  <c r="DK52" i="1"/>
  <c r="DJ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T52" i="1"/>
  <c r="CS52" i="1"/>
  <c r="BY52" i="1"/>
  <c r="BT52" i="1"/>
  <c r="BS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D52" i="1"/>
  <c r="AC52" i="1"/>
  <c r="AY52" i="1" s="1"/>
  <c r="AA52" i="1"/>
  <c r="G52" i="1"/>
  <c r="DN51" i="1"/>
  <c r="DL51" i="1"/>
  <c r="DK51" i="1"/>
  <c r="DJ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P51" i="1"/>
  <c r="BV51" i="1"/>
  <c r="BU51" i="1" s="1"/>
  <c r="CQ51" i="1" s="1"/>
  <c r="BS51" i="1"/>
  <c r="BP51" i="1"/>
  <c r="BO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X51" i="1"/>
  <c r="BT51" i="1" s="1"/>
  <c r="AD51" i="1"/>
  <c r="AC51" i="1" s="1"/>
  <c r="AY51" i="1" s="1"/>
  <c r="G51" i="1"/>
  <c r="DL50" i="1"/>
  <c r="DK50" i="1"/>
  <c r="DJ50" i="1"/>
  <c r="DH50" i="1"/>
  <c r="DF50" i="1"/>
  <c r="DE50" i="1"/>
  <c r="DD50" i="1"/>
  <c r="DC50" i="1"/>
  <c r="DB50" i="1"/>
  <c r="DA50" i="1"/>
  <c r="CZ50" i="1"/>
  <c r="CY50" i="1"/>
  <c r="CX50" i="1"/>
  <c r="CW50" i="1"/>
  <c r="CV50" i="1"/>
  <c r="CT50" i="1"/>
  <c r="CS50" i="1"/>
  <c r="CK50" i="1"/>
  <c r="BV50" i="1"/>
  <c r="BT50" i="1"/>
  <c r="BS50" i="1"/>
  <c r="BP50" i="1"/>
  <c r="BN50" i="1"/>
  <c r="BM50" i="1"/>
  <c r="BL50" i="1"/>
  <c r="BK50" i="1"/>
  <c r="BJ50" i="1"/>
  <c r="BI50" i="1"/>
  <c r="BH50" i="1"/>
  <c r="BG50" i="1"/>
  <c r="BF50" i="1"/>
  <c r="BE50" i="1"/>
  <c r="BD50" i="1"/>
  <c r="BB50" i="1"/>
  <c r="BA50" i="1"/>
  <c r="AS50" i="1"/>
  <c r="AD50" i="1"/>
  <c r="V50" i="1"/>
  <c r="J50" i="1"/>
  <c r="DN49" i="1"/>
  <c r="DL49" i="1"/>
  <c r="DK49" i="1"/>
  <c r="DJ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T49" i="1"/>
  <c r="CS49" i="1"/>
  <c r="BY49" i="1"/>
  <c r="BV49" i="1" s="1"/>
  <c r="BU49" i="1" s="1"/>
  <c r="CQ49" i="1" s="1"/>
  <c r="BT49" i="1"/>
  <c r="BS49" i="1"/>
  <c r="BP49" i="1"/>
  <c r="BO49" i="1"/>
  <c r="BM49" i="1"/>
  <c r="BL49" i="1"/>
  <c r="BK49" i="1"/>
  <c r="BJ49" i="1"/>
  <c r="BI49" i="1"/>
  <c r="BH49" i="1"/>
  <c r="BG49" i="1"/>
  <c r="BF49" i="1"/>
  <c r="BE49" i="1"/>
  <c r="BD49" i="1"/>
  <c r="BB49" i="1"/>
  <c r="BA49" i="1"/>
  <c r="AG49" i="1"/>
  <c r="G49" i="1"/>
  <c r="DN48" i="1"/>
  <c r="DL48" i="1"/>
  <c r="DJ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T48" i="1"/>
  <c r="CS48" i="1"/>
  <c r="CO48" i="1"/>
  <c r="DK48" i="1" s="1"/>
  <c r="BY48" i="1"/>
  <c r="BT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W48" i="1"/>
  <c r="BS48" i="1" s="1"/>
  <c r="AG48" i="1"/>
  <c r="G48" i="1"/>
  <c r="DL47" i="1"/>
  <c r="DK47" i="1"/>
  <c r="DJ47" i="1"/>
  <c r="DH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K47" i="1"/>
  <c r="DG47" i="1" s="1"/>
  <c r="BT47" i="1"/>
  <c r="BS47" i="1"/>
  <c r="BP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S47" i="1"/>
  <c r="BO47" i="1" s="1"/>
  <c r="AA47" i="1"/>
  <c r="G47" i="1" s="1"/>
  <c r="DN47" i="1" s="1"/>
  <c r="DN46" i="1"/>
  <c r="DL46" i="1"/>
  <c r="DK46" i="1"/>
  <c r="DJ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R46" i="1" s="1"/>
  <c r="DP46" i="1" s="1"/>
  <c r="CS46" i="1"/>
  <c r="BV46" i="1"/>
  <c r="BU46" i="1"/>
  <c r="CQ46" i="1" s="1"/>
  <c r="BT46" i="1"/>
  <c r="BS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Z46" i="1" s="1"/>
  <c r="DO46" i="1" s="1"/>
  <c r="BA46" i="1"/>
  <c r="AY46" i="1"/>
  <c r="AD46" i="1"/>
  <c r="AC46" i="1"/>
  <c r="G46" i="1"/>
  <c r="DN45" i="1"/>
  <c r="DL45" i="1"/>
  <c r="DK45" i="1"/>
  <c r="DJ45" i="1"/>
  <c r="DH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CK45" i="1"/>
  <c r="DG45" i="1" s="1"/>
  <c r="CR45" i="1" s="1"/>
  <c r="BT45" i="1"/>
  <c r="BS45" i="1"/>
  <c r="BP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S45" i="1"/>
  <c r="BO45" i="1" s="1"/>
  <c r="G45" i="1"/>
  <c r="DL44" i="1"/>
  <c r="DK44" i="1"/>
  <c r="DJ44" i="1"/>
  <c r="DH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K44" i="1"/>
  <c r="DG44" i="1" s="1"/>
  <c r="CR44" i="1" s="1"/>
  <c r="BT44" i="1"/>
  <c r="BS44" i="1"/>
  <c r="BR44" i="1"/>
  <c r="BP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S44" i="1"/>
  <c r="AD44" i="1" s="1"/>
  <c r="AC44" i="1" s="1"/>
  <c r="AY44" i="1" s="1"/>
  <c r="G44" i="1"/>
  <c r="DN44" i="1" s="1"/>
  <c r="DN43" i="1"/>
  <c r="DL43" i="1"/>
  <c r="DK43" i="1"/>
  <c r="DJ43" i="1"/>
  <c r="DH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CK43" i="1"/>
  <c r="BV43" i="1" s="1"/>
  <c r="BU43" i="1" s="1"/>
  <c r="CQ43" i="1" s="1"/>
  <c r="BT43" i="1"/>
  <c r="BS43" i="1"/>
  <c r="BP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S43" i="1"/>
  <c r="AD43" i="1" s="1"/>
  <c r="AC43" i="1" s="1"/>
  <c r="AY43" i="1" s="1"/>
  <c r="V43" i="1"/>
  <c r="G43" i="1"/>
  <c r="DL42" i="1"/>
  <c r="DK42" i="1"/>
  <c r="DJ42" i="1"/>
  <c r="DH42" i="1"/>
  <c r="DF42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K42" i="1"/>
  <c r="BT42" i="1"/>
  <c r="BS42" i="1"/>
  <c r="BR42" i="1"/>
  <c r="BP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S42" i="1"/>
  <c r="V42" i="1"/>
  <c r="G42" i="1"/>
  <c r="DN42" i="1" s="1"/>
  <c r="DL41" i="1"/>
  <c r="DK41" i="1"/>
  <c r="DJ41" i="1"/>
  <c r="DH41" i="1"/>
  <c r="DG41" i="1"/>
  <c r="DF41" i="1"/>
  <c r="DE41" i="1"/>
  <c r="DC41" i="1"/>
  <c r="DB41" i="1"/>
  <c r="DA41" i="1"/>
  <c r="CZ41" i="1"/>
  <c r="CY41" i="1"/>
  <c r="CX41" i="1"/>
  <c r="CW41" i="1"/>
  <c r="CV41" i="1"/>
  <c r="CU41" i="1"/>
  <c r="CT41" i="1"/>
  <c r="CS41" i="1"/>
  <c r="CH41" i="1"/>
  <c r="BT41" i="1"/>
  <c r="BS41" i="1"/>
  <c r="BR41" i="1"/>
  <c r="BP41" i="1"/>
  <c r="BO41" i="1"/>
  <c r="BN41" i="1"/>
  <c r="BM41" i="1"/>
  <c r="BK41" i="1"/>
  <c r="BJ41" i="1"/>
  <c r="BI41" i="1"/>
  <c r="BH41" i="1"/>
  <c r="BG41" i="1"/>
  <c r="BF41" i="1"/>
  <c r="BE41" i="1"/>
  <c r="BD41" i="1"/>
  <c r="BC41" i="1"/>
  <c r="BB41" i="1"/>
  <c r="BA41" i="1"/>
  <c r="AP41" i="1"/>
  <c r="AP135" i="1" s="1"/>
  <c r="S41" i="1"/>
  <c r="S135" i="1" s="1"/>
  <c r="G41" i="1"/>
  <c r="DN41" i="1" s="1"/>
  <c r="DL40" i="1"/>
  <c r="DK40" i="1"/>
  <c r="DJ40" i="1"/>
  <c r="DH40" i="1"/>
  <c r="DH58" i="1" s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BV40" i="1"/>
  <c r="BT40" i="1"/>
  <c r="BS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D40" i="1"/>
  <c r="AA40" i="1"/>
  <c r="G40" i="1"/>
  <c r="DN40" i="1" s="1"/>
  <c r="DL39" i="1"/>
  <c r="DJ39" i="1"/>
  <c r="DH39" i="1"/>
  <c r="DG39" i="1"/>
  <c r="DF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O39" i="1"/>
  <c r="CI39" i="1"/>
  <c r="DE39" i="1" s="1"/>
  <c r="BT39" i="1"/>
  <c r="BP39" i="1"/>
  <c r="BO39" i="1"/>
  <c r="BN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W39" i="1"/>
  <c r="AW135" i="1" s="1"/>
  <c r="AQ39" i="1"/>
  <c r="BM39" i="1" s="1"/>
  <c r="AD39" i="1"/>
  <c r="Z39" i="1"/>
  <c r="DK38" i="1"/>
  <c r="DJ38" i="1"/>
  <c r="DH38" i="1"/>
  <c r="DF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P38" i="1"/>
  <c r="CI38" i="1"/>
  <c r="BS38" i="1"/>
  <c r="BP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X38" i="1"/>
  <c r="BT38" i="1" s="1"/>
  <c r="AS38" i="1"/>
  <c r="BO38" i="1" s="1"/>
  <c r="AQ38" i="1"/>
  <c r="AA38" i="1"/>
  <c r="DN37" i="1"/>
  <c r="DL37" i="1"/>
  <c r="DK37" i="1"/>
  <c r="DJ37" i="1"/>
  <c r="DH37" i="1"/>
  <c r="DG37" i="1"/>
  <c r="DF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I37" i="1"/>
  <c r="BV37" i="1" s="1"/>
  <c r="BU37" i="1" s="1"/>
  <c r="CQ37" i="1" s="1"/>
  <c r="BT37" i="1"/>
  <c r="BS37" i="1"/>
  <c r="BP37" i="1"/>
  <c r="BO37" i="1"/>
  <c r="BN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Q37" i="1"/>
  <c r="AQ135" i="1" s="1"/>
  <c r="G37" i="1"/>
  <c r="DN36" i="1"/>
  <c r="DL36" i="1"/>
  <c r="DK36" i="1"/>
  <c r="DJ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K36" i="1"/>
  <c r="BV36" i="1"/>
  <c r="BT36" i="1"/>
  <c r="BS36" i="1"/>
  <c r="BR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S36" i="1"/>
  <c r="AD36" i="1"/>
  <c r="AC36" i="1" s="1"/>
  <c r="AY36" i="1" s="1"/>
  <c r="G36" i="1"/>
  <c r="DL35" i="1"/>
  <c r="DK35" i="1"/>
  <c r="DJ35" i="1"/>
  <c r="DH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K35" i="1"/>
  <c r="BV35" i="1" s="1"/>
  <c r="BT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D35" i="1"/>
  <c r="AC35" i="1"/>
  <c r="AY35" i="1" s="1"/>
  <c r="G35" i="1"/>
  <c r="DN35" i="1" s="1"/>
  <c r="DN34" i="1"/>
  <c r="DL34" i="1"/>
  <c r="DK34" i="1"/>
  <c r="DJ34" i="1"/>
  <c r="DH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CK34" i="1"/>
  <c r="DG34" i="1" s="1"/>
  <c r="BT34" i="1"/>
  <c r="BP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S34" i="1"/>
  <c r="AD34" i="1" s="1"/>
  <c r="G34" i="1"/>
  <c r="DN33" i="1"/>
  <c r="DL33" i="1"/>
  <c r="DK33" i="1"/>
  <c r="DJ33" i="1"/>
  <c r="DH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K33" i="1"/>
  <c r="BT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S33" i="1"/>
  <c r="AD33" i="1"/>
  <c r="AC33" i="1" s="1"/>
  <c r="AY33" i="1" s="1"/>
  <c r="G33" i="1"/>
  <c r="DL32" i="1"/>
  <c r="DK32" i="1"/>
  <c r="DJ32" i="1"/>
  <c r="DI32" i="1"/>
  <c r="DI135" i="1" s="1"/>
  <c r="DH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K32" i="1"/>
  <c r="DG32" i="1" s="1"/>
  <c r="BT32" i="1"/>
  <c r="BQ32" i="1"/>
  <c r="BQ135" i="1" s="1"/>
  <c r="BP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S32" i="1"/>
  <c r="BO32" i="1" s="1"/>
  <c r="G32" i="1"/>
  <c r="DN32" i="1" s="1"/>
  <c r="DK31" i="1"/>
  <c r="DJ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CP31" i="1"/>
  <c r="BV31" i="1" s="1"/>
  <c r="BP31" i="1"/>
  <c r="BO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X31" i="1"/>
  <c r="AD31" i="1"/>
  <c r="AC31" i="1"/>
  <c r="AY31" i="1" s="1"/>
  <c r="G31" i="1"/>
  <c r="DN31" i="1" s="1"/>
  <c r="DN30" i="1"/>
  <c r="DK30" i="1"/>
  <c r="DJ30" i="1"/>
  <c r="DJ58" i="1" s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P30" i="1"/>
  <c r="DL30" i="1" s="1"/>
  <c r="BV30" i="1"/>
  <c r="BU30" i="1"/>
  <c r="CQ30" i="1" s="1"/>
  <c r="BP30" i="1"/>
  <c r="BO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X30" i="1"/>
  <c r="AD30" i="1" s="1"/>
  <c r="AA30" i="1"/>
  <c r="G30" i="1"/>
  <c r="DN29" i="1"/>
  <c r="DL29" i="1"/>
  <c r="DK29" i="1"/>
  <c r="DJ29" i="1"/>
  <c r="DH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K29" i="1"/>
  <c r="BT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S29" i="1"/>
  <c r="AD29" i="1"/>
  <c r="AC29" i="1" s="1"/>
  <c r="AY29" i="1" s="1"/>
  <c r="G29" i="1"/>
  <c r="DL28" i="1"/>
  <c r="DK28" i="1"/>
  <c r="DJ28" i="1"/>
  <c r="DH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K28" i="1"/>
  <c r="DG28" i="1" s="1"/>
  <c r="BV28" i="1"/>
  <c r="BT28" i="1"/>
  <c r="BP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S28" i="1"/>
  <c r="G28" i="1"/>
  <c r="DN28" i="1" s="1"/>
  <c r="DL27" i="1"/>
  <c r="DK27" i="1"/>
  <c r="DJ27" i="1"/>
  <c r="DH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K27" i="1"/>
  <c r="BV27" i="1" s="1"/>
  <c r="BT27" i="1"/>
  <c r="BP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S27" i="1"/>
  <c r="AD27" i="1"/>
  <c r="V27" i="1"/>
  <c r="G27" i="1" s="1"/>
  <c r="DN27" i="1" s="1"/>
  <c r="DN26" i="1"/>
  <c r="DL26" i="1"/>
  <c r="DK26" i="1"/>
  <c r="DJ26" i="1"/>
  <c r="DH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BV26" i="1"/>
  <c r="BU26" i="1"/>
  <c r="CQ26" i="1" s="1"/>
  <c r="BT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D26" i="1"/>
  <c r="AC26" i="1" s="1"/>
  <c r="AY26" i="1" s="1"/>
  <c r="V26" i="1"/>
  <c r="G26" i="1"/>
  <c r="DN25" i="1"/>
  <c r="DL25" i="1"/>
  <c r="DK25" i="1"/>
  <c r="DJ25" i="1"/>
  <c r="DH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CK25" i="1"/>
  <c r="BT25" i="1"/>
  <c r="BP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S25" i="1"/>
  <c r="BO25" i="1" s="1"/>
  <c r="G25" i="1"/>
  <c r="DN24" i="1"/>
  <c r="DL24" i="1"/>
  <c r="DK24" i="1"/>
  <c r="DJ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BV24" i="1"/>
  <c r="DP24" i="1" s="1"/>
  <c r="BT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D24" i="1"/>
  <c r="AC24" i="1"/>
  <c r="AY24" i="1" s="1"/>
  <c r="G24" i="1"/>
  <c r="DN23" i="1"/>
  <c r="DL23" i="1"/>
  <c r="DK23" i="1"/>
  <c r="DJ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T23" i="1"/>
  <c r="CS23" i="1"/>
  <c r="BY23" i="1"/>
  <c r="CU23" i="1" s="1"/>
  <c r="CR23" i="1" s="1"/>
  <c r="BT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B23" i="1"/>
  <c r="BA23" i="1"/>
  <c r="AG23" i="1"/>
  <c r="AD23" i="1" s="1"/>
  <c r="AC23" i="1" s="1"/>
  <c r="AY23" i="1" s="1"/>
  <c r="G23" i="1"/>
  <c r="DL22" i="1"/>
  <c r="DK22" i="1"/>
  <c r="DJ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T22" i="1"/>
  <c r="CS22" i="1"/>
  <c r="BY22" i="1"/>
  <c r="BT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B22" i="1"/>
  <c r="BA22" i="1"/>
  <c r="AG22" i="1"/>
  <c r="BC22" i="1" s="1"/>
  <c r="AZ22" i="1" s="1"/>
  <c r="G22" i="1"/>
  <c r="DN22" i="1" s="1"/>
  <c r="DN21" i="1"/>
  <c r="DL21" i="1"/>
  <c r="DK21" i="1"/>
  <c r="DJ21" i="1"/>
  <c r="DH21" i="1"/>
  <c r="DG21" i="1"/>
  <c r="DF21" i="1"/>
  <c r="DE21" i="1"/>
  <c r="DD21" i="1"/>
  <c r="DC21" i="1"/>
  <c r="DB21" i="1"/>
  <c r="DB135" i="1" s="1"/>
  <c r="DA21" i="1"/>
  <c r="CZ21" i="1"/>
  <c r="CY21" i="1"/>
  <c r="CX21" i="1"/>
  <c r="CW21" i="1"/>
  <c r="CV21" i="1"/>
  <c r="CT21" i="1"/>
  <c r="CS21" i="1"/>
  <c r="BY21" i="1"/>
  <c r="BV21" i="1" s="1"/>
  <c r="BU21" i="1" s="1"/>
  <c r="CQ21" i="1" s="1"/>
  <c r="BT21" i="1"/>
  <c r="BP21" i="1"/>
  <c r="BO21" i="1"/>
  <c r="BN21" i="1"/>
  <c r="BM21" i="1"/>
  <c r="BL21" i="1"/>
  <c r="BK21" i="1"/>
  <c r="BJ21" i="1"/>
  <c r="BI21" i="1"/>
  <c r="BH21" i="1"/>
  <c r="BG21" i="1"/>
  <c r="BG135" i="1" s="1"/>
  <c r="BF21" i="1"/>
  <c r="BE21" i="1"/>
  <c r="BD21" i="1"/>
  <c r="BB21" i="1"/>
  <c r="BA21" i="1"/>
  <c r="AG21" i="1"/>
  <c r="G21" i="1"/>
  <c r="DI20" i="1"/>
  <c r="CO20" i="1"/>
  <c r="CN20" i="1"/>
  <c r="CL20" i="1"/>
  <c r="CK20" i="1"/>
  <c r="CH20" i="1"/>
  <c r="CG20" i="1"/>
  <c r="CF20" i="1"/>
  <c r="CE20" i="1"/>
  <c r="CE130" i="1" s="1"/>
  <c r="CD20" i="1"/>
  <c r="CC20" i="1"/>
  <c r="BZ20" i="1"/>
  <c r="BX20" i="1"/>
  <c r="BW20" i="1"/>
  <c r="BR20" i="1"/>
  <c r="BA20" i="1"/>
  <c r="AW20" i="1"/>
  <c r="AV20" i="1"/>
  <c r="AU20" i="1"/>
  <c r="AT20" i="1"/>
  <c r="AS20" i="1"/>
  <c r="AP20" i="1"/>
  <c r="AO20" i="1"/>
  <c r="AN20" i="1"/>
  <c r="AM20" i="1"/>
  <c r="AL20" i="1"/>
  <c r="AL130" i="1" s="1"/>
  <c r="AK20" i="1"/>
  <c r="AH20" i="1"/>
  <c r="AF20" i="1"/>
  <c r="Z20" i="1"/>
  <c r="Y20" i="1"/>
  <c r="W20" i="1"/>
  <c r="W130" i="1" s="1"/>
  <c r="V20" i="1"/>
  <c r="U20" i="1"/>
  <c r="T20" i="1"/>
  <c r="S20" i="1"/>
  <c r="R20" i="1"/>
  <c r="Q20" i="1"/>
  <c r="P20" i="1"/>
  <c r="O20" i="1"/>
  <c r="N20" i="1"/>
  <c r="M20" i="1"/>
  <c r="K20" i="1"/>
  <c r="I20" i="1"/>
  <c r="H20" i="1"/>
  <c r="DL19" i="1"/>
  <c r="DK19" i="1"/>
  <c r="DJ19" i="1"/>
  <c r="DH19" i="1"/>
  <c r="DG19" i="1"/>
  <c r="DF19" i="1"/>
  <c r="DE19" i="1"/>
  <c r="DD19" i="1"/>
  <c r="DC19" i="1"/>
  <c r="DB19" i="1"/>
  <c r="DA19" i="1"/>
  <c r="CZ19" i="1"/>
  <c r="CY19" i="1"/>
  <c r="CX19" i="1"/>
  <c r="CV19" i="1"/>
  <c r="CU19" i="1"/>
  <c r="CT19" i="1"/>
  <c r="CS19" i="1"/>
  <c r="CA19" i="1"/>
  <c r="BT19" i="1"/>
  <c r="BS19" i="1"/>
  <c r="BP19" i="1"/>
  <c r="BO19" i="1"/>
  <c r="BN19" i="1"/>
  <c r="BM19" i="1"/>
  <c r="BL19" i="1"/>
  <c r="BK19" i="1"/>
  <c r="BJ19" i="1"/>
  <c r="BI19" i="1"/>
  <c r="BH19" i="1"/>
  <c r="BG19" i="1"/>
  <c r="BF19" i="1"/>
  <c r="BD19" i="1"/>
  <c r="BC19" i="1"/>
  <c r="BB19" i="1"/>
  <c r="BA19" i="1"/>
  <c r="AI19" i="1"/>
  <c r="BE19" i="1" s="1"/>
  <c r="G19" i="1"/>
  <c r="DN19" i="1" s="1"/>
  <c r="DN18" i="1"/>
  <c r="DL18" i="1"/>
  <c r="DK18" i="1"/>
  <c r="DJ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BV18" i="1"/>
  <c r="BU18" i="1"/>
  <c r="CQ18" i="1" s="1"/>
  <c r="BT18" i="1"/>
  <c r="BS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AZ18" i="1" s="1"/>
  <c r="DO18" i="1" s="1"/>
  <c r="BB18" i="1"/>
  <c r="BA18" i="1"/>
  <c r="AD18" i="1"/>
  <c r="AC18" i="1" s="1"/>
  <c r="AY18" i="1" s="1"/>
  <c r="G18" i="1"/>
  <c r="DL17" i="1"/>
  <c r="DK17" i="1"/>
  <c r="DJ17" i="1"/>
  <c r="DH17" i="1"/>
  <c r="DG17" i="1"/>
  <c r="DF17" i="1"/>
  <c r="DE17" i="1"/>
  <c r="DD17" i="1"/>
  <c r="DC17" i="1"/>
  <c r="DB17" i="1"/>
  <c r="DA17" i="1"/>
  <c r="CZ17" i="1"/>
  <c r="CY17" i="1"/>
  <c r="CX17" i="1"/>
  <c r="CV17" i="1"/>
  <c r="CU17" i="1"/>
  <c r="CT17" i="1"/>
  <c r="CS17" i="1"/>
  <c r="BV17" i="1"/>
  <c r="BT17" i="1"/>
  <c r="BS17" i="1"/>
  <c r="BR17" i="1"/>
  <c r="BP17" i="1"/>
  <c r="BO17" i="1"/>
  <c r="BN17" i="1"/>
  <c r="BM17" i="1"/>
  <c r="BL17" i="1"/>
  <c r="BK17" i="1"/>
  <c r="BJ17" i="1"/>
  <c r="BI17" i="1"/>
  <c r="BH17" i="1"/>
  <c r="BG17" i="1"/>
  <c r="BF17" i="1"/>
  <c r="BD17" i="1"/>
  <c r="BC17" i="1"/>
  <c r="BB17" i="1"/>
  <c r="BA17" i="1"/>
  <c r="AI17" i="1"/>
  <c r="AD17" i="1" s="1"/>
  <c r="L17" i="1"/>
  <c r="CW17" i="1" s="1"/>
  <c r="DK16" i="1"/>
  <c r="DJ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BV16" i="1"/>
  <c r="BS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D16" i="1"/>
  <c r="AA16" i="1"/>
  <c r="DN15" i="1"/>
  <c r="DL15" i="1"/>
  <c r="DK15" i="1"/>
  <c r="DJ15" i="1"/>
  <c r="DH15" i="1"/>
  <c r="DG15" i="1"/>
  <c r="DF15" i="1"/>
  <c r="DD15" i="1"/>
  <c r="DC15" i="1"/>
  <c r="DB15" i="1"/>
  <c r="DA15" i="1"/>
  <c r="CZ15" i="1"/>
  <c r="CY15" i="1"/>
  <c r="CX15" i="1"/>
  <c r="CV15" i="1"/>
  <c r="CU15" i="1"/>
  <c r="CT15" i="1"/>
  <c r="CS15" i="1"/>
  <c r="CI15" i="1"/>
  <c r="CI136" i="1" s="1"/>
  <c r="CA15" i="1"/>
  <c r="CW15" i="1" s="1"/>
  <c r="BT15" i="1"/>
  <c r="BS15" i="1"/>
  <c r="BP15" i="1"/>
  <c r="BO15" i="1"/>
  <c r="BN15" i="1"/>
  <c r="BL15" i="1"/>
  <c r="BK15" i="1"/>
  <c r="BJ15" i="1"/>
  <c r="BI15" i="1"/>
  <c r="BH15" i="1"/>
  <c r="BG15" i="1"/>
  <c r="BF15" i="1"/>
  <c r="BD15" i="1"/>
  <c r="BC15" i="1"/>
  <c r="BB15" i="1"/>
  <c r="BA15" i="1"/>
  <c r="AQ15" i="1"/>
  <c r="AQ136" i="1" s="1"/>
  <c r="AI15" i="1"/>
  <c r="BE15" i="1" s="1"/>
  <c r="G15" i="1"/>
  <c r="DN14" i="1"/>
  <c r="DL14" i="1"/>
  <c r="DK14" i="1"/>
  <c r="DJ14" i="1"/>
  <c r="DH14" i="1"/>
  <c r="DG14" i="1"/>
  <c r="DF14" i="1"/>
  <c r="DE14" i="1"/>
  <c r="DD14" i="1"/>
  <c r="DC14" i="1"/>
  <c r="DB14" i="1"/>
  <c r="DA14" i="1"/>
  <c r="CZ14" i="1"/>
  <c r="CY14" i="1"/>
  <c r="CX14" i="1"/>
  <c r="CV14" i="1"/>
  <c r="CU14" i="1"/>
  <c r="CT14" i="1"/>
  <c r="CS14" i="1"/>
  <c r="CA14" i="1"/>
  <c r="BV14" i="1" s="1"/>
  <c r="BU14" i="1" s="1"/>
  <c r="CQ14" i="1" s="1"/>
  <c r="BT14" i="1"/>
  <c r="BS14" i="1"/>
  <c r="BR14" i="1"/>
  <c r="BP14" i="1"/>
  <c r="BO14" i="1"/>
  <c r="BN14" i="1"/>
  <c r="BM14" i="1"/>
  <c r="BL14" i="1"/>
  <c r="BK14" i="1"/>
  <c r="BJ14" i="1"/>
  <c r="BI14" i="1"/>
  <c r="BH14" i="1"/>
  <c r="BG14" i="1"/>
  <c r="BF14" i="1"/>
  <c r="BD14" i="1"/>
  <c r="BC14" i="1"/>
  <c r="BB14" i="1"/>
  <c r="BA14" i="1"/>
  <c r="AI14" i="1"/>
  <c r="BE14" i="1" s="1"/>
  <c r="G14" i="1"/>
  <c r="DN13" i="1"/>
  <c r="DK13" i="1"/>
  <c r="DJ13" i="1"/>
  <c r="DH13" i="1"/>
  <c r="DG13" i="1"/>
  <c r="DE13" i="1"/>
  <c r="DD13" i="1"/>
  <c r="DC13" i="1"/>
  <c r="DB13" i="1"/>
  <c r="DA13" i="1"/>
  <c r="CZ13" i="1"/>
  <c r="CY13" i="1"/>
  <c r="CV13" i="1"/>
  <c r="CU13" i="1"/>
  <c r="CT13" i="1"/>
  <c r="CS13" i="1"/>
  <c r="CP13" i="1"/>
  <c r="DL13" i="1" s="1"/>
  <c r="CJ13" i="1"/>
  <c r="CB13" i="1"/>
  <c r="CB136" i="1" s="1"/>
  <c r="CA13" i="1"/>
  <c r="BS13" i="1"/>
  <c r="BP13" i="1"/>
  <c r="BO13" i="1"/>
  <c r="BM13" i="1"/>
  <c r="BL13" i="1"/>
  <c r="BK13" i="1"/>
  <c r="BJ13" i="1"/>
  <c r="BI13" i="1"/>
  <c r="BH13" i="1"/>
  <c r="BG13" i="1"/>
  <c r="BE13" i="1"/>
  <c r="BD13" i="1"/>
  <c r="BC13" i="1"/>
  <c r="BB13" i="1"/>
  <c r="BA13" i="1"/>
  <c r="AX13" i="1"/>
  <c r="BT13" i="1" s="1"/>
  <c r="AR13" i="1"/>
  <c r="AJ13" i="1"/>
  <c r="AD13" i="1" s="1"/>
  <c r="AC13" i="1" s="1"/>
  <c r="AY13" i="1" s="1"/>
  <c r="AA13" i="1"/>
  <c r="G13" i="1"/>
  <c r="DN12" i="1"/>
  <c r="DL12" i="1"/>
  <c r="DK12" i="1"/>
  <c r="DJ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 s="1"/>
  <c r="BV12" i="1"/>
  <c r="BU12" i="1" s="1"/>
  <c r="CQ12" i="1" s="1"/>
  <c r="BT12" i="1"/>
  <c r="BS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I12" i="1"/>
  <c r="AD12" i="1"/>
  <c r="AC12" i="1" s="1"/>
  <c r="AY12" i="1" s="1"/>
  <c r="G12" i="1"/>
  <c r="DL11" i="1"/>
  <c r="DK11" i="1"/>
  <c r="DJ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R11" i="1" s="1"/>
  <c r="DP11" i="1" s="1"/>
  <c r="CV11" i="1"/>
  <c r="CU11" i="1"/>
  <c r="CT11" i="1"/>
  <c r="CS11" i="1"/>
  <c r="BV11" i="1"/>
  <c r="BU11" i="1"/>
  <c r="CQ11" i="1" s="1"/>
  <c r="BT11" i="1"/>
  <c r="BS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D11" i="1"/>
  <c r="AC11" i="1" s="1"/>
  <c r="AY11" i="1" s="1"/>
  <c r="G11" i="1"/>
  <c r="DN11" i="1" s="1"/>
  <c r="DL10" i="1"/>
  <c r="DK10" i="1"/>
  <c r="DJ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 s="1"/>
  <c r="DP10" i="1" s="1"/>
  <c r="BV10" i="1"/>
  <c r="BU10" i="1" s="1"/>
  <c r="CQ10" i="1" s="1"/>
  <c r="BT10" i="1"/>
  <c r="BS10" i="1"/>
  <c r="BP10" i="1"/>
  <c r="BO10" i="1"/>
  <c r="BN10" i="1"/>
  <c r="BM10" i="1"/>
  <c r="BL10" i="1"/>
  <c r="BK10" i="1"/>
  <c r="BJ10" i="1"/>
  <c r="BI10" i="1"/>
  <c r="BH10" i="1"/>
  <c r="BG10" i="1"/>
  <c r="BF10" i="1"/>
  <c r="BD10" i="1"/>
  <c r="BC10" i="1"/>
  <c r="BB10" i="1"/>
  <c r="BA10" i="1"/>
  <c r="AI10" i="1"/>
  <c r="AD10" i="1" s="1"/>
  <c r="AC10" i="1" s="1"/>
  <c r="AY10" i="1" s="1"/>
  <c r="G10" i="1"/>
  <c r="DN10" i="1" s="1"/>
  <c r="DK9" i="1"/>
  <c r="DJ9" i="1"/>
  <c r="DH9" i="1"/>
  <c r="DG9" i="1"/>
  <c r="DF9" i="1"/>
  <c r="DE9" i="1"/>
  <c r="DD9" i="1"/>
  <c r="DC9" i="1"/>
  <c r="DB9" i="1"/>
  <c r="DA9" i="1"/>
  <c r="CZ9" i="1"/>
  <c r="CY9" i="1"/>
  <c r="CX9" i="1"/>
  <c r="CV9" i="1"/>
  <c r="CT9" i="1"/>
  <c r="CS9" i="1"/>
  <c r="CP9" i="1"/>
  <c r="CP134" i="1" s="1"/>
  <c r="CA9" i="1"/>
  <c r="BY9" i="1"/>
  <c r="CU9" i="1" s="1"/>
  <c r="BS9" i="1"/>
  <c r="BP9" i="1"/>
  <c r="BO9" i="1"/>
  <c r="BN9" i="1"/>
  <c r="BM9" i="1"/>
  <c r="BL9" i="1"/>
  <c r="BK9" i="1"/>
  <c r="BJ9" i="1"/>
  <c r="BI9" i="1"/>
  <c r="BH9" i="1"/>
  <c r="BG9" i="1"/>
  <c r="BF9" i="1"/>
  <c r="BD9" i="1"/>
  <c r="BB9" i="1"/>
  <c r="BA9" i="1"/>
  <c r="AX9" i="1"/>
  <c r="AI9" i="1"/>
  <c r="AG9" i="1"/>
  <c r="AA9" i="1"/>
  <c r="AA134" i="1" s="1"/>
  <c r="L9" i="1"/>
  <c r="J9" i="1"/>
  <c r="DL8" i="1"/>
  <c r="DK8" i="1"/>
  <c r="DK134" i="1" s="1"/>
  <c r="DJ8" i="1"/>
  <c r="DH8" i="1"/>
  <c r="DG8" i="1"/>
  <c r="DF8" i="1"/>
  <c r="DE8" i="1"/>
  <c r="DD8" i="1"/>
  <c r="DC8" i="1"/>
  <c r="DC134" i="1" s="1"/>
  <c r="DB8" i="1"/>
  <c r="DB134" i="1" s="1"/>
  <c r="DA8" i="1"/>
  <c r="CZ8" i="1"/>
  <c r="CY8" i="1"/>
  <c r="CX8" i="1"/>
  <c r="CV8" i="1"/>
  <c r="CT8" i="1"/>
  <c r="CT134" i="1" s="1"/>
  <c r="CS8" i="1"/>
  <c r="CA8" i="1"/>
  <c r="CA134" i="1" s="1"/>
  <c r="BY8" i="1"/>
  <c r="BT8" i="1"/>
  <c r="BS8" i="1"/>
  <c r="BP8" i="1"/>
  <c r="BO8" i="1"/>
  <c r="BN8" i="1"/>
  <c r="BM8" i="1"/>
  <c r="BM134" i="1" s="1"/>
  <c r="BL8" i="1"/>
  <c r="BK8" i="1"/>
  <c r="BJ8" i="1"/>
  <c r="BI8" i="1"/>
  <c r="BH8" i="1"/>
  <c r="BG8" i="1"/>
  <c r="BF8" i="1"/>
  <c r="BE8" i="1"/>
  <c r="BD8" i="1"/>
  <c r="BB8" i="1"/>
  <c r="BA8" i="1"/>
  <c r="AI8" i="1"/>
  <c r="AG8" i="1"/>
  <c r="AG20" i="1" s="1"/>
  <c r="L8" i="1"/>
  <c r="L134" i="1" s="1"/>
  <c r="J8" i="1"/>
  <c r="DL7" i="1"/>
  <c r="DK7" i="1"/>
  <c r="DK20" i="1" s="1"/>
  <c r="DJ7" i="1"/>
  <c r="DH7" i="1"/>
  <c r="DG7" i="1"/>
  <c r="DF7" i="1"/>
  <c r="DE7" i="1"/>
  <c r="DD7" i="1"/>
  <c r="DC7" i="1"/>
  <c r="DB7" i="1"/>
  <c r="DA7" i="1"/>
  <c r="CZ7" i="1"/>
  <c r="CY7" i="1"/>
  <c r="CX7" i="1"/>
  <c r="CV7" i="1"/>
  <c r="CT7" i="1"/>
  <c r="CS7" i="1"/>
  <c r="BV7" i="1"/>
  <c r="BS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B7" i="1"/>
  <c r="BA7" i="1"/>
  <c r="AX7" i="1"/>
  <c r="AD7" i="1" s="1"/>
  <c r="L7" i="1"/>
  <c r="J7" i="1"/>
  <c r="DN6" i="1"/>
  <c r="DL6" i="1"/>
  <c r="DK6" i="1"/>
  <c r="DJ6" i="1"/>
  <c r="DH6" i="1"/>
  <c r="DG6" i="1"/>
  <c r="DF6" i="1"/>
  <c r="DE6" i="1"/>
  <c r="DD6" i="1"/>
  <c r="DD20" i="1" s="1"/>
  <c r="DC6" i="1"/>
  <c r="DB6" i="1"/>
  <c r="DA6" i="1"/>
  <c r="CZ6" i="1"/>
  <c r="CY6" i="1"/>
  <c r="CX6" i="1"/>
  <c r="CV6" i="1"/>
  <c r="CU6" i="1"/>
  <c r="CT6" i="1"/>
  <c r="CS6" i="1"/>
  <c r="CA6" i="1"/>
  <c r="BV6" i="1" s="1"/>
  <c r="BT6" i="1"/>
  <c r="BS6" i="1"/>
  <c r="BP6" i="1"/>
  <c r="BO6" i="1"/>
  <c r="BO20" i="1" s="1"/>
  <c r="BN6" i="1"/>
  <c r="BM6" i="1"/>
  <c r="BL6" i="1"/>
  <c r="BK6" i="1"/>
  <c r="BJ6" i="1"/>
  <c r="BI6" i="1"/>
  <c r="BH6" i="1"/>
  <c r="BG6" i="1"/>
  <c r="BF6" i="1"/>
  <c r="BD6" i="1"/>
  <c r="BC6" i="1"/>
  <c r="BB6" i="1"/>
  <c r="BA6" i="1"/>
  <c r="AI6" i="1"/>
  <c r="AD6" i="1" s="1"/>
  <c r="AC6" i="1" s="1"/>
  <c r="AY6" i="1" s="1"/>
  <c r="G6" i="1"/>
  <c r="DK5" i="1"/>
  <c r="DJ5" i="1"/>
  <c r="DH5" i="1"/>
  <c r="DG5" i="1"/>
  <c r="DF5" i="1"/>
  <c r="DE5" i="1"/>
  <c r="DD5" i="1"/>
  <c r="DC5" i="1"/>
  <c r="DC20" i="1" s="1"/>
  <c r="DB5" i="1"/>
  <c r="DA5" i="1"/>
  <c r="CZ5" i="1"/>
  <c r="CY5" i="1"/>
  <c r="CX5" i="1"/>
  <c r="CV5" i="1"/>
  <c r="CU5" i="1"/>
  <c r="CT5" i="1"/>
  <c r="CS5" i="1"/>
  <c r="CP5" i="1"/>
  <c r="DL5" i="1" s="1"/>
  <c r="CA5" i="1"/>
  <c r="CW5" i="1" s="1"/>
  <c r="BS5" i="1"/>
  <c r="BP5" i="1"/>
  <c r="BO5" i="1"/>
  <c r="BN5" i="1"/>
  <c r="BM5" i="1"/>
  <c r="BL5" i="1"/>
  <c r="BK5" i="1"/>
  <c r="BJ5" i="1"/>
  <c r="BI5" i="1"/>
  <c r="BH5" i="1"/>
  <c r="BG5" i="1"/>
  <c r="BF5" i="1"/>
  <c r="BD5" i="1"/>
  <c r="BC5" i="1"/>
  <c r="BB5" i="1"/>
  <c r="BA5" i="1"/>
  <c r="AX5" i="1"/>
  <c r="AI5" i="1"/>
  <c r="AA5" i="1"/>
  <c r="G5" i="1"/>
  <c r="DN5" i="1" s="1"/>
  <c r="DL4" i="1"/>
  <c r="DK4" i="1"/>
  <c r="DJ4" i="1"/>
  <c r="DH4" i="1"/>
  <c r="DG4" i="1"/>
  <c r="DG136" i="1" s="1"/>
  <c r="DF4" i="1"/>
  <c r="DE4" i="1"/>
  <c r="DD4" i="1"/>
  <c r="DC4" i="1"/>
  <c r="DB4" i="1"/>
  <c r="DA4" i="1"/>
  <c r="CZ4" i="1"/>
  <c r="CY4" i="1"/>
  <c r="CY136" i="1" s="1"/>
  <c r="CX4" i="1"/>
  <c r="CV4" i="1"/>
  <c r="CU4" i="1"/>
  <c r="CT4" i="1"/>
  <c r="CS4" i="1"/>
  <c r="CA4" i="1"/>
  <c r="BT4" i="1"/>
  <c r="BS4" i="1"/>
  <c r="BR4" i="1"/>
  <c r="BR136" i="1" s="1"/>
  <c r="BP4" i="1"/>
  <c r="BO4" i="1"/>
  <c r="BN4" i="1"/>
  <c r="BM4" i="1"/>
  <c r="BL4" i="1"/>
  <c r="BK4" i="1"/>
  <c r="BJ4" i="1"/>
  <c r="BI4" i="1"/>
  <c r="BI136" i="1" s="1"/>
  <c r="BH4" i="1"/>
  <c r="BG4" i="1"/>
  <c r="BF4" i="1"/>
  <c r="BE4" i="1"/>
  <c r="BD4" i="1"/>
  <c r="BC4" i="1"/>
  <c r="BB4" i="1"/>
  <c r="BA4" i="1"/>
  <c r="AD4" i="1"/>
  <c r="AC4" i="1"/>
  <c r="AY4" i="1" s="1"/>
  <c r="G4" i="1"/>
  <c r="BO3" i="1"/>
  <c r="CK3" i="1" s="1"/>
  <c r="DG3" i="1" s="1"/>
  <c r="AS3" i="1"/>
  <c r="AD97" i="1" l="1"/>
  <c r="AZ48" i="1"/>
  <c r="AG133" i="1"/>
  <c r="AD41" i="1"/>
  <c r="BO43" i="1"/>
  <c r="BV95" i="1"/>
  <c r="CW14" i="1"/>
  <c r="AZ94" i="1"/>
  <c r="AZ101" i="1"/>
  <c r="BM133" i="1"/>
  <c r="AZ120" i="1"/>
  <c r="BV9" i="2"/>
  <c r="BV9" i="1"/>
  <c r="DP9" i="1" s="1"/>
  <c r="AD15" i="1"/>
  <c r="AC15" i="1" s="1"/>
  <c r="AY15" i="1" s="1"/>
  <c r="AD19" i="1"/>
  <c r="AC19" i="1" s="1"/>
  <c r="AY19" i="1" s="1"/>
  <c r="CR28" i="1"/>
  <c r="BV32" i="1"/>
  <c r="BU32" i="1" s="1"/>
  <c r="CQ32" i="1" s="1"/>
  <c r="BV54" i="1"/>
  <c r="DL57" i="1"/>
  <c r="CR57" i="1" s="1"/>
  <c r="DP57" i="1" s="1"/>
  <c r="AZ93" i="1"/>
  <c r="DO93" i="1" s="1"/>
  <c r="CU109" i="1"/>
  <c r="CR109" i="1" s="1"/>
  <c r="DE120" i="1"/>
  <c r="DE128" i="1" s="1"/>
  <c r="AQ133" i="1"/>
  <c r="BV66" i="2"/>
  <c r="BU66" i="2" s="1"/>
  <c r="CQ66" i="2" s="1"/>
  <c r="CU21" i="1"/>
  <c r="AZ33" i="1"/>
  <c r="DO33" i="1" s="1"/>
  <c r="CR14" i="1"/>
  <c r="AZ51" i="1"/>
  <c r="DO51" i="1" s="1"/>
  <c r="AP58" i="1"/>
  <c r="AD83" i="1"/>
  <c r="AC83" i="1" s="1"/>
  <c r="AY83" i="1" s="1"/>
  <c r="AX133" i="1"/>
  <c r="CW9" i="2"/>
  <c r="DH93" i="1"/>
  <c r="DE37" i="1"/>
  <c r="BU56" i="1"/>
  <c r="CQ56" i="1" s="1"/>
  <c r="AC120" i="1"/>
  <c r="AY120" i="1" s="1"/>
  <c r="BE6" i="1"/>
  <c r="AZ6" i="1" s="1"/>
  <c r="DO6" i="1" s="1"/>
  <c r="BE10" i="1"/>
  <c r="AZ10" i="1" s="1"/>
  <c r="DO10" i="1" s="1"/>
  <c r="AZ12" i="1"/>
  <c r="DO12" i="1" s="1"/>
  <c r="AD14" i="1"/>
  <c r="AC14" i="1" s="1"/>
  <c r="AY14" i="1" s="1"/>
  <c r="AZ29" i="1"/>
  <c r="DO29" i="1" s="1"/>
  <c r="CR30" i="1"/>
  <c r="BU36" i="1"/>
  <c r="CQ36" i="1" s="1"/>
  <c r="AZ47" i="1"/>
  <c r="BV47" i="1"/>
  <c r="BU47" i="1" s="1"/>
  <c r="CQ47" i="1" s="1"/>
  <c r="CR61" i="1"/>
  <c r="DP61" i="1" s="1"/>
  <c r="CI137" i="1"/>
  <c r="BV77" i="1"/>
  <c r="BU77" i="1" s="1"/>
  <c r="CQ77" i="1" s="1"/>
  <c r="DO106" i="1"/>
  <c r="AD107" i="1"/>
  <c r="AO132" i="1"/>
  <c r="BC113" i="1"/>
  <c r="AZ113" i="1" s="1"/>
  <c r="DO113" i="1" s="1"/>
  <c r="BC114" i="1"/>
  <c r="AZ114" i="1" s="1"/>
  <c r="DO114" i="1" s="1"/>
  <c r="AZ116" i="1"/>
  <c r="DO116" i="1" s="1"/>
  <c r="AD5" i="2"/>
  <c r="AC5" i="2" s="1"/>
  <c r="AY5" i="2" s="1"/>
  <c r="CW127" i="1"/>
  <c r="AD9" i="1"/>
  <c r="BO34" i="1"/>
  <c r="AZ34" i="1" s="1"/>
  <c r="DO34" i="1" s="1"/>
  <c r="CR37" i="1"/>
  <c r="DP37" i="1" s="1"/>
  <c r="BV73" i="1"/>
  <c r="BU73" i="1" s="1"/>
  <c r="CQ73" i="1" s="1"/>
  <c r="CR101" i="1"/>
  <c r="DP101" i="1" s="1"/>
  <c r="BV106" i="1"/>
  <c r="BU106" i="1" s="1"/>
  <c r="CQ106" i="1" s="1"/>
  <c r="AG132" i="1"/>
  <c r="BC112" i="1"/>
  <c r="AC25" i="2"/>
  <c r="AY25" i="2" s="1"/>
  <c r="G59" i="2"/>
  <c r="DA109" i="2"/>
  <c r="BT115" i="2"/>
  <c r="BT40" i="2"/>
  <c r="AZ40" i="2" s="1"/>
  <c r="AC124" i="2"/>
  <c r="AY124" i="2" s="1"/>
  <c r="BE63" i="2"/>
  <c r="AZ63" i="2" s="1"/>
  <c r="G82" i="2"/>
  <c r="AC82" i="2" s="1"/>
  <c r="AY82" i="2" s="1"/>
  <c r="BV111" i="2"/>
  <c r="AD125" i="2"/>
  <c r="AD126" i="2"/>
  <c r="AC126" i="2" s="1"/>
  <c r="AY126" i="2" s="1"/>
  <c r="BM134" i="2"/>
  <c r="DG56" i="2"/>
  <c r="CR56" i="2" s="1"/>
  <c r="CW6" i="2"/>
  <c r="CR6" i="2" s="1"/>
  <c r="DL59" i="2"/>
  <c r="AD32" i="1"/>
  <c r="AC32" i="1" s="1"/>
  <c r="AY32" i="1" s="1"/>
  <c r="AD45" i="1"/>
  <c r="AC45" i="1" s="1"/>
  <c r="AY45" i="1" s="1"/>
  <c r="BV48" i="1"/>
  <c r="BU48" i="1" s="1"/>
  <c r="CQ48" i="1" s="1"/>
  <c r="BV105" i="1"/>
  <c r="BU105" i="1" s="1"/>
  <c r="CQ105" i="1" s="1"/>
  <c r="BO107" i="1"/>
  <c r="BO140" i="1" s="1"/>
  <c r="AD22" i="2"/>
  <c r="AC22" i="2" s="1"/>
  <c r="AY22" i="2" s="1"/>
  <c r="AD97" i="2"/>
  <c r="AC97" i="2" s="1"/>
  <c r="AY97" i="2" s="1"/>
  <c r="DL112" i="1"/>
  <c r="CR112" i="1" s="1"/>
  <c r="DP112" i="1" s="1"/>
  <c r="AD110" i="1"/>
  <c r="AC110" i="1" s="1"/>
  <c r="AY110" i="1" s="1"/>
  <c r="CR34" i="1"/>
  <c r="DC110" i="2"/>
  <c r="AD5" i="1"/>
  <c r="AC5" i="1" s="1"/>
  <c r="AY5" i="1" s="1"/>
  <c r="BM15" i="1"/>
  <c r="BM136" i="1" s="1"/>
  <c r="AX58" i="1"/>
  <c r="BV34" i="1"/>
  <c r="BU34" i="1" s="1"/>
  <c r="CQ34" i="1" s="1"/>
  <c r="BV44" i="1"/>
  <c r="BU44" i="1" s="1"/>
  <c r="CQ44" i="1" s="1"/>
  <c r="AW58" i="1"/>
  <c r="AD86" i="1"/>
  <c r="BT57" i="1"/>
  <c r="AZ57" i="1" s="1"/>
  <c r="DO57" i="1" s="1"/>
  <c r="CR81" i="1"/>
  <c r="BV13" i="1"/>
  <c r="BU13" i="1" s="1"/>
  <c r="CQ13" i="1" s="1"/>
  <c r="AD22" i="1"/>
  <c r="AC22" i="1" s="1"/>
  <c r="AY22" i="1" s="1"/>
  <c r="BO50" i="1"/>
  <c r="BV72" i="1"/>
  <c r="BU72" i="1" s="1"/>
  <c r="CQ72" i="1" s="1"/>
  <c r="BT73" i="1"/>
  <c r="AZ73" i="1" s="1"/>
  <c r="AD98" i="1"/>
  <c r="AD138" i="1"/>
  <c r="AC138" i="1" s="1"/>
  <c r="AY138" i="1" s="1"/>
  <c r="BV48" i="2"/>
  <c r="BU48" i="2" s="1"/>
  <c r="CQ48" i="2" s="1"/>
  <c r="BT31" i="1"/>
  <c r="AZ31" i="1" s="1"/>
  <c r="DO31" i="1" s="1"/>
  <c r="CR47" i="1"/>
  <c r="DL90" i="1"/>
  <c r="CR90" i="1" s="1"/>
  <c r="DP90" i="1" s="1"/>
  <c r="CU48" i="2"/>
  <c r="CR48" i="2" s="1"/>
  <c r="CR105" i="1"/>
  <c r="AZ80" i="1"/>
  <c r="DO80" i="1" s="1"/>
  <c r="DO87" i="1"/>
  <c r="AS108" i="1"/>
  <c r="CU113" i="1"/>
  <c r="CR113" i="1" s="1"/>
  <c r="DP113" i="1" s="1"/>
  <c r="BR121" i="1"/>
  <c r="BR138" i="1" s="1"/>
  <c r="AV128" i="1"/>
  <c r="AV130" i="1" s="1"/>
  <c r="CR5" i="1"/>
  <c r="DE15" i="1"/>
  <c r="CR15" i="1" s="1"/>
  <c r="CR53" i="1"/>
  <c r="CR70" i="1"/>
  <c r="AH132" i="1"/>
  <c r="AH139" i="1" s="1"/>
  <c r="AH141" i="1" s="1"/>
  <c r="CO135" i="2"/>
  <c r="CO139" i="2" s="1"/>
  <c r="CO141" i="2" s="1"/>
  <c r="BE81" i="2"/>
  <c r="AZ81" i="2" s="1"/>
  <c r="CW86" i="2"/>
  <c r="CR86" i="2" s="1"/>
  <c r="AD87" i="2"/>
  <c r="AC87" i="2" s="1"/>
  <c r="AY87" i="2" s="1"/>
  <c r="DE20" i="1"/>
  <c r="DH94" i="1"/>
  <c r="CR94" i="1" s="1"/>
  <c r="DP94" i="1" s="1"/>
  <c r="BX139" i="1"/>
  <c r="CU8" i="1"/>
  <c r="CU134" i="1" s="1"/>
  <c r="CW6" i="1"/>
  <c r="CR6" i="1" s="1"/>
  <c r="DP6" i="1" s="1"/>
  <c r="BV15" i="1"/>
  <c r="AQ20" i="1"/>
  <c r="AG58" i="1"/>
  <c r="DL31" i="1"/>
  <c r="CR31" i="1" s="1"/>
  <c r="DP31" i="1" s="1"/>
  <c r="CO135" i="1"/>
  <c r="CO139" i="1" s="1"/>
  <c r="CO141" i="1" s="1"/>
  <c r="BO44" i="1"/>
  <c r="AZ44" i="1" s="1"/>
  <c r="DO44" i="1" s="1"/>
  <c r="AZ62" i="1"/>
  <c r="DO62" i="1" s="1"/>
  <c r="AZ81" i="1"/>
  <c r="DO81" i="1" s="1"/>
  <c r="AZ83" i="1"/>
  <c r="BY133" i="1"/>
  <c r="CW8" i="2"/>
  <c r="CW134" i="2" s="1"/>
  <c r="AZ25" i="1"/>
  <c r="AZ32" i="1"/>
  <c r="DO32" i="1" s="1"/>
  <c r="CP136" i="1"/>
  <c r="CI20" i="1"/>
  <c r="AD25" i="1"/>
  <c r="AC25" i="1" s="1"/>
  <c r="AY25" i="1" s="1"/>
  <c r="DG35" i="1"/>
  <c r="CR35" i="1" s="1"/>
  <c r="DP35" i="1" s="1"/>
  <c r="CU48" i="1"/>
  <c r="CR48" i="1" s="1"/>
  <c r="DP48" i="1" s="1"/>
  <c r="CU49" i="1"/>
  <c r="CR49" i="1" s="1"/>
  <c r="DP49" i="1" s="1"/>
  <c r="AD62" i="1"/>
  <c r="BV89" i="1"/>
  <c r="AZ95" i="1"/>
  <c r="DO95" i="1" s="1"/>
  <c r="CJ128" i="1"/>
  <c r="AD98" i="2"/>
  <c r="DG107" i="2"/>
  <c r="BE8" i="2"/>
  <c r="BE134" i="2" s="1"/>
  <c r="BV14" i="2"/>
  <c r="AD36" i="2"/>
  <c r="AC36" i="2" s="1"/>
  <c r="AY36" i="2" s="1"/>
  <c r="BO42" i="2"/>
  <c r="AZ42" i="2" s="1"/>
  <c r="G56" i="2"/>
  <c r="BU56" i="2" s="1"/>
  <c r="CQ56" i="2" s="1"/>
  <c r="BF56" i="2"/>
  <c r="G63" i="2"/>
  <c r="AD77" i="2"/>
  <c r="AC77" i="2" s="1"/>
  <c r="AY77" i="2" s="1"/>
  <c r="AZ16" i="2"/>
  <c r="CB91" i="2"/>
  <c r="BU113" i="2"/>
  <c r="CQ113" i="2" s="1"/>
  <c r="BQ58" i="2"/>
  <c r="BQ130" i="2" s="1"/>
  <c r="AD60" i="2"/>
  <c r="AC60" i="2" s="1"/>
  <c r="AY60" i="2" s="1"/>
  <c r="AD61" i="2"/>
  <c r="AC61" i="2" s="1"/>
  <c r="AY61" i="2" s="1"/>
  <c r="BV81" i="2"/>
  <c r="BU81" i="2" s="1"/>
  <c r="CQ81" i="2" s="1"/>
  <c r="BU90" i="2"/>
  <c r="CQ90" i="2" s="1"/>
  <c r="BM15" i="2"/>
  <c r="BM20" i="2" s="1"/>
  <c r="CW19" i="2"/>
  <c r="BU29" i="2"/>
  <c r="CQ29" i="2" s="1"/>
  <c r="BU35" i="2"/>
  <c r="CQ35" i="2" s="1"/>
  <c r="AW135" i="2"/>
  <c r="BU55" i="2"/>
  <c r="CQ55" i="2" s="1"/>
  <c r="DL88" i="2"/>
  <c r="AD94" i="2"/>
  <c r="AC94" i="2" s="1"/>
  <c r="AY94" i="2" s="1"/>
  <c r="AD101" i="2"/>
  <c r="BK111" i="2"/>
  <c r="BU117" i="2"/>
  <c r="CQ117" i="2" s="1"/>
  <c r="DL127" i="2"/>
  <c r="CR127" i="2" s="1"/>
  <c r="BU70" i="2"/>
  <c r="CQ70" i="2" s="1"/>
  <c r="BU11" i="2"/>
  <c r="CQ11" i="2" s="1"/>
  <c r="AD15" i="2"/>
  <c r="AC15" i="2" s="1"/>
  <c r="AY15" i="2" s="1"/>
  <c r="AD31" i="2"/>
  <c r="AC31" i="2" s="1"/>
  <c r="AY31" i="2" s="1"/>
  <c r="AC84" i="2"/>
  <c r="AY84" i="2" s="1"/>
  <c r="BU85" i="2"/>
  <c r="CQ85" i="2" s="1"/>
  <c r="G88" i="2"/>
  <c r="BU88" i="2" s="1"/>
  <c r="CQ88" i="2" s="1"/>
  <c r="BV110" i="2"/>
  <c r="CN128" i="2"/>
  <c r="CN130" i="2" s="1"/>
  <c r="AD33" i="2"/>
  <c r="AC33" i="2" s="1"/>
  <c r="AY33" i="2" s="1"/>
  <c r="BV45" i="2"/>
  <c r="BU45" i="2" s="1"/>
  <c r="CQ45" i="2" s="1"/>
  <c r="BV59" i="2"/>
  <c r="BU59" i="2" s="1"/>
  <c r="CQ59" i="2" s="1"/>
  <c r="AC99" i="2"/>
  <c r="AY99" i="2" s="1"/>
  <c r="BV105" i="2"/>
  <c r="BU105" i="2" s="1"/>
  <c r="CQ105" i="2" s="1"/>
  <c r="BV121" i="2"/>
  <c r="BU60" i="2"/>
  <c r="CQ60" i="2" s="1"/>
  <c r="CW72" i="2"/>
  <c r="CR72" i="2" s="1"/>
  <c r="BU80" i="2"/>
  <c r="CQ80" i="2" s="1"/>
  <c r="BI109" i="2"/>
  <c r="BI132" i="2" s="1"/>
  <c r="CU109" i="2"/>
  <c r="CU132" i="2" s="1"/>
  <c r="DC111" i="2"/>
  <c r="CR111" i="2" s="1"/>
  <c r="DK133" i="2"/>
  <c r="BV126" i="2"/>
  <c r="BU126" i="2" s="1"/>
  <c r="CQ126" i="2" s="1"/>
  <c r="BE6" i="2"/>
  <c r="AZ6" i="2" s="1"/>
  <c r="BU19" i="2"/>
  <c r="CQ19" i="2" s="1"/>
  <c r="CR23" i="2"/>
  <c r="BE10" i="2"/>
  <c r="AZ10" i="2" s="1"/>
  <c r="DL5" i="2"/>
  <c r="BE14" i="2"/>
  <c r="AZ14" i="2" s="1"/>
  <c r="BV15" i="2"/>
  <c r="BU15" i="2" s="1"/>
  <c r="CQ15" i="2" s="1"/>
  <c r="CR18" i="2"/>
  <c r="BV32" i="2"/>
  <c r="BU32" i="2" s="1"/>
  <c r="CQ32" i="2" s="1"/>
  <c r="BU75" i="2"/>
  <c r="CQ75" i="2" s="1"/>
  <c r="BU84" i="2"/>
  <c r="CQ84" i="2" s="1"/>
  <c r="CR88" i="2"/>
  <c r="G107" i="2"/>
  <c r="R132" i="2"/>
  <c r="R139" i="2" s="1"/>
  <c r="R141" i="2" s="1"/>
  <c r="CR123" i="2"/>
  <c r="BU33" i="2"/>
  <c r="CQ33" i="2" s="1"/>
  <c r="G42" i="2"/>
  <c r="AC42" i="2" s="1"/>
  <c r="AY42" i="2" s="1"/>
  <c r="DG42" i="2"/>
  <c r="CR42" i="2" s="1"/>
  <c r="BT52" i="2"/>
  <c r="DL65" i="2"/>
  <c r="CR65" i="2" s="1"/>
  <c r="BT68" i="2"/>
  <c r="AZ68" i="2" s="1"/>
  <c r="AC70" i="2"/>
  <c r="AY70" i="2" s="1"/>
  <c r="CW70" i="2"/>
  <c r="BV89" i="2"/>
  <c r="BT102" i="2"/>
  <c r="AZ102" i="2" s="1"/>
  <c r="DJ121" i="2"/>
  <c r="DJ138" i="2" s="1"/>
  <c r="BV4" i="2"/>
  <c r="AC11" i="2"/>
  <c r="AY11" i="2" s="1"/>
  <c r="AD19" i="2"/>
  <c r="AC19" i="2" s="1"/>
  <c r="AY19" i="2" s="1"/>
  <c r="BV28" i="2"/>
  <c r="BU28" i="2" s="1"/>
  <c r="CQ28" i="2" s="1"/>
  <c r="BU31" i="2"/>
  <c r="CQ31" i="2" s="1"/>
  <c r="BU24" i="2"/>
  <c r="CQ24" i="2" s="1"/>
  <c r="AC30" i="2"/>
  <c r="AY30" i="2" s="1"/>
  <c r="BP95" i="2"/>
  <c r="AZ95" i="2" s="1"/>
  <c r="BT109" i="2"/>
  <c r="J140" i="2"/>
  <c r="BU4" i="2"/>
  <c r="CQ4" i="2" s="1"/>
  <c r="L134" i="2"/>
  <c r="DE15" i="2"/>
  <c r="DE136" i="2" s="1"/>
  <c r="CI20" i="2"/>
  <c r="AA58" i="2"/>
  <c r="BV39" i="2"/>
  <c r="BO43" i="2"/>
  <c r="AZ43" i="2" s="1"/>
  <c r="BO44" i="2"/>
  <c r="AZ44" i="2" s="1"/>
  <c r="G47" i="2"/>
  <c r="BU47" i="2" s="1"/>
  <c r="CQ47" i="2" s="1"/>
  <c r="BV49" i="2"/>
  <c r="BU49" i="2" s="1"/>
  <c r="CQ49" i="2" s="1"/>
  <c r="BV52" i="2"/>
  <c r="BU52" i="2" s="1"/>
  <c r="CQ52" i="2" s="1"/>
  <c r="CR55" i="2"/>
  <c r="BV64" i="2"/>
  <c r="G68" i="2"/>
  <c r="AC68" i="2" s="1"/>
  <c r="AY68" i="2" s="1"/>
  <c r="DL90" i="2"/>
  <c r="CR90" i="2" s="1"/>
  <c r="BV94" i="2"/>
  <c r="BU94" i="2" s="1"/>
  <c r="CQ94" i="2" s="1"/>
  <c r="G102" i="2"/>
  <c r="BU102" i="2" s="1"/>
  <c r="CQ102" i="2" s="1"/>
  <c r="BP106" i="2"/>
  <c r="AZ106" i="2" s="1"/>
  <c r="BR108" i="2"/>
  <c r="BZ132" i="2"/>
  <c r="BZ139" i="2" s="1"/>
  <c r="BZ141" i="2" s="1"/>
  <c r="BN133" i="2"/>
  <c r="AD113" i="2"/>
  <c r="CU113" i="2"/>
  <c r="CR113" i="2" s="1"/>
  <c r="G115" i="2"/>
  <c r="AR138" i="2"/>
  <c r="AR139" i="2" s="1"/>
  <c r="AR141" i="2" s="1"/>
  <c r="X130" i="2"/>
  <c r="DH98" i="2"/>
  <c r="CR98" i="2" s="1"/>
  <c r="CU107" i="2"/>
  <c r="CU140" i="2" s="1"/>
  <c r="Q139" i="2"/>
  <c r="Q141" i="2" s="1"/>
  <c r="DE134" i="2"/>
  <c r="BL64" i="2"/>
  <c r="BL91" i="2" s="1"/>
  <c r="DL68" i="2"/>
  <c r="CR68" i="2" s="1"/>
  <c r="BB132" i="2"/>
  <c r="BU69" i="2"/>
  <c r="CQ69" i="2" s="1"/>
  <c r="DB108" i="2"/>
  <c r="BD109" i="2"/>
  <c r="BV5" i="2"/>
  <c r="BU5" i="2" s="1"/>
  <c r="CQ5" i="2" s="1"/>
  <c r="AK130" i="2"/>
  <c r="CD130" i="2"/>
  <c r="AC35" i="2"/>
  <c r="AY35" i="2" s="1"/>
  <c r="BU43" i="2"/>
  <c r="CQ43" i="2" s="1"/>
  <c r="BE70" i="2"/>
  <c r="AZ70" i="2" s="1"/>
  <c r="CW87" i="2"/>
  <c r="CR87" i="2" s="1"/>
  <c r="AP91" i="2"/>
  <c r="AD102" i="2"/>
  <c r="BV107" i="2"/>
  <c r="BE132" i="2"/>
  <c r="CY133" i="2"/>
  <c r="BV138" i="2"/>
  <c r="CJ128" i="2"/>
  <c r="AZ29" i="2"/>
  <c r="AC74" i="2"/>
  <c r="AY74" i="2" s="1"/>
  <c r="AN139" i="2"/>
  <c r="AN141" i="2" s="1"/>
  <c r="BE9" i="2"/>
  <c r="BF133" i="2"/>
  <c r="DL9" i="2"/>
  <c r="CZ134" i="2"/>
  <c r="DH134" i="2"/>
  <c r="CE130" i="2"/>
  <c r="CR28" i="2"/>
  <c r="AC40" i="2"/>
  <c r="AY40" i="2" s="1"/>
  <c r="DG43" i="2"/>
  <c r="CR43" i="2" s="1"/>
  <c r="AC51" i="2"/>
  <c r="AY51" i="2" s="1"/>
  <c r="BC91" i="2"/>
  <c r="DD64" i="2"/>
  <c r="DD91" i="2" s="1"/>
  <c r="AZ75" i="2"/>
  <c r="CR76" i="2"/>
  <c r="BC107" i="2"/>
  <c r="CK108" i="2"/>
  <c r="P139" i="2"/>
  <c r="P141" i="2" s="1"/>
  <c r="BP132" i="2"/>
  <c r="CT132" i="2"/>
  <c r="BT127" i="2"/>
  <c r="AZ127" i="2" s="1"/>
  <c r="I139" i="2"/>
  <c r="I141" i="2" s="1"/>
  <c r="CX13" i="2"/>
  <c r="CX136" i="2" s="1"/>
  <c r="M91" i="2"/>
  <c r="CR40" i="2"/>
  <c r="BT51" i="2"/>
  <c r="AZ51" i="2" s="1"/>
  <c r="AZ53" i="2"/>
  <c r="CB20" i="2"/>
  <c r="CB130" i="2" s="1"/>
  <c r="AC43" i="2"/>
  <c r="AY43" i="2" s="1"/>
  <c r="CC130" i="2"/>
  <c r="AZ60" i="2"/>
  <c r="AC79" i="2"/>
  <c r="AY79" i="2" s="1"/>
  <c r="CR84" i="2"/>
  <c r="AZ113" i="2"/>
  <c r="DL118" i="2"/>
  <c r="CR118" i="2" s="1"/>
  <c r="CA134" i="2"/>
  <c r="AX134" i="2"/>
  <c r="BT13" i="2"/>
  <c r="AM130" i="2"/>
  <c r="CF130" i="2"/>
  <c r="AD29" i="2"/>
  <c r="AC29" i="2" s="1"/>
  <c r="AY29" i="2" s="1"/>
  <c r="BV34" i="2"/>
  <c r="BU34" i="2" s="1"/>
  <c r="CQ34" i="2" s="1"/>
  <c r="DL47" i="2"/>
  <c r="CR47" i="2" s="1"/>
  <c r="AD64" i="2"/>
  <c r="AC64" i="2" s="1"/>
  <c r="AY64" i="2" s="1"/>
  <c r="G65" i="2"/>
  <c r="AC65" i="2" s="1"/>
  <c r="AY65" i="2" s="1"/>
  <c r="AD93" i="2"/>
  <c r="AC93" i="2" s="1"/>
  <c r="AY93" i="2" s="1"/>
  <c r="BG108" i="2"/>
  <c r="BB104" i="2"/>
  <c r="BB140" i="2" s="1"/>
  <c r="BH109" i="2"/>
  <c r="BH132" i="2" s="1"/>
  <c r="AZ125" i="2"/>
  <c r="AZ126" i="2"/>
  <c r="W139" i="2"/>
  <c r="W141" i="2" s="1"/>
  <c r="AL139" i="2"/>
  <c r="AL141" i="2" s="1"/>
  <c r="CC139" i="2"/>
  <c r="CC141" i="2" s="1"/>
  <c r="CL139" i="2"/>
  <c r="AT139" i="2"/>
  <c r="S135" i="2"/>
  <c r="S139" i="2" s="1"/>
  <c r="S141" i="2" s="1"/>
  <c r="G41" i="2"/>
  <c r="AC41" i="2" s="1"/>
  <c r="AY41" i="2" s="1"/>
  <c r="DH97" i="2"/>
  <c r="CR97" i="2" s="1"/>
  <c r="DH102" i="2"/>
  <c r="BO26" i="2"/>
  <c r="AZ26" i="2" s="1"/>
  <c r="G26" i="2"/>
  <c r="Z135" i="2"/>
  <c r="Z139" i="2" s="1"/>
  <c r="Z141" i="2" s="1"/>
  <c r="G39" i="2"/>
  <c r="AZ82" i="2"/>
  <c r="BV13" i="2"/>
  <c r="AZ18" i="2"/>
  <c r="BU18" i="2"/>
  <c r="CQ18" i="2" s="1"/>
  <c r="AL130" i="2"/>
  <c r="BO25" i="2"/>
  <c r="AZ25" i="2" s="1"/>
  <c r="DG54" i="2"/>
  <c r="BV54" i="2"/>
  <c r="AD66" i="2"/>
  <c r="AC66" i="2" s="1"/>
  <c r="AY66" i="2" s="1"/>
  <c r="DE83" i="2"/>
  <c r="CR83" i="2" s="1"/>
  <c r="CI91" i="2"/>
  <c r="BU97" i="2"/>
  <c r="CQ97" i="2" s="1"/>
  <c r="DH100" i="2"/>
  <c r="CR100" i="2" s="1"/>
  <c r="BV100" i="2"/>
  <c r="BU100" i="2" s="1"/>
  <c r="CQ100" i="2" s="1"/>
  <c r="BT59" i="2"/>
  <c r="AD59" i="2"/>
  <c r="AC59" i="2" s="1"/>
  <c r="AY59" i="2" s="1"/>
  <c r="W130" i="2"/>
  <c r="BO91" i="2"/>
  <c r="DL13" i="2"/>
  <c r="G13" i="2"/>
  <c r="AZ22" i="2"/>
  <c r="AZ33" i="2"/>
  <c r="CR45" i="2"/>
  <c r="AD49" i="2"/>
  <c r="AC49" i="2" s="1"/>
  <c r="AY49" i="2" s="1"/>
  <c r="BC49" i="2"/>
  <c r="AZ49" i="2" s="1"/>
  <c r="S58" i="2"/>
  <c r="S130" i="2" s="1"/>
  <c r="BN91" i="2"/>
  <c r="L91" i="2"/>
  <c r="CW63" i="2"/>
  <c r="CR63" i="2" s="1"/>
  <c r="CW71" i="2"/>
  <c r="CR71" i="2" s="1"/>
  <c r="BE71" i="2"/>
  <c r="AZ71" i="2" s="1"/>
  <c r="G71" i="2"/>
  <c r="BV78" i="2"/>
  <c r="BU78" i="2" s="1"/>
  <c r="CQ78" i="2" s="1"/>
  <c r="T137" i="2"/>
  <c r="T139" i="2" s="1"/>
  <c r="T141" i="2" s="1"/>
  <c r="DE82" i="2"/>
  <c r="CR82" i="2" s="1"/>
  <c r="T91" i="2"/>
  <c r="T130" i="2" s="1"/>
  <c r="AZ87" i="2"/>
  <c r="CR89" i="2"/>
  <c r="AX91" i="2"/>
  <c r="AZ97" i="2"/>
  <c r="AW130" i="2"/>
  <c r="DG36" i="2"/>
  <c r="CR36" i="2" s="1"/>
  <c r="BV36" i="2"/>
  <c r="BU36" i="2" s="1"/>
  <c r="CQ36" i="2" s="1"/>
  <c r="BD108" i="2"/>
  <c r="G50" i="2"/>
  <c r="BU50" i="2" s="1"/>
  <c r="CQ50" i="2" s="1"/>
  <c r="DG50" i="2"/>
  <c r="DK91" i="2"/>
  <c r="BA134" i="2"/>
  <c r="BJ134" i="2"/>
  <c r="AD9" i="2"/>
  <c r="AG20" i="2"/>
  <c r="CR11" i="2"/>
  <c r="AZ12" i="2"/>
  <c r="BY58" i="2"/>
  <c r="BV21" i="2"/>
  <c r="BU21" i="2" s="1"/>
  <c r="CQ21" i="2" s="1"/>
  <c r="BO45" i="2"/>
  <c r="AZ45" i="2" s="1"/>
  <c r="AD45" i="2"/>
  <c r="AC45" i="2" s="1"/>
  <c r="AY45" i="2" s="1"/>
  <c r="BS48" i="2"/>
  <c r="AD48" i="2"/>
  <c r="AC48" i="2" s="1"/>
  <c r="AY48" i="2" s="1"/>
  <c r="CR85" i="2"/>
  <c r="DH106" i="2"/>
  <c r="CR106" i="2" s="1"/>
  <c r="CU114" i="2"/>
  <c r="CR114" i="2" s="1"/>
  <c r="CR117" i="2"/>
  <c r="CR52" i="2"/>
  <c r="DL102" i="2"/>
  <c r="DK20" i="2"/>
  <c r="CW17" i="2"/>
  <c r="CR17" i="2" s="1"/>
  <c r="BE17" i="2"/>
  <c r="AZ17" i="2" s="1"/>
  <c r="AD32" i="2"/>
  <c r="AC32" i="2" s="1"/>
  <c r="AY32" i="2" s="1"/>
  <c r="BT57" i="2"/>
  <c r="AZ57" i="2" s="1"/>
  <c r="AZ66" i="2"/>
  <c r="DH137" i="2"/>
  <c r="BR20" i="2"/>
  <c r="CR99" i="2"/>
  <c r="BB133" i="2"/>
  <c r="BU23" i="2"/>
  <c r="CQ23" i="2" s="1"/>
  <c r="AZ31" i="2"/>
  <c r="AZ32" i="2"/>
  <c r="AZ36" i="2"/>
  <c r="BU41" i="2"/>
  <c r="CQ41" i="2" s="1"/>
  <c r="CY20" i="2"/>
  <c r="DG20" i="2"/>
  <c r="CP134" i="2"/>
  <c r="BP58" i="2"/>
  <c r="DD41" i="2"/>
  <c r="DD135" i="2" s="1"/>
  <c r="CW108" i="2"/>
  <c r="BG140" i="2"/>
  <c r="AZ98" i="2"/>
  <c r="CX108" i="2"/>
  <c r="BI133" i="2"/>
  <c r="AI134" i="2"/>
  <c r="BS134" i="2"/>
  <c r="AC10" i="2"/>
  <c r="AY10" i="2" s="1"/>
  <c r="BB20" i="2"/>
  <c r="I130" i="2"/>
  <c r="CZ58" i="2"/>
  <c r="CR34" i="2"/>
  <c r="AZ48" i="2"/>
  <c r="AZ52" i="2"/>
  <c r="AZ77" i="2"/>
  <c r="BJ133" i="2"/>
  <c r="DA133" i="2"/>
  <c r="DJ133" i="2"/>
  <c r="G118" i="2"/>
  <c r="BU118" i="2" s="1"/>
  <c r="CQ118" i="2" s="1"/>
  <c r="DD133" i="2"/>
  <c r="K132" i="2"/>
  <c r="K139" i="2" s="1"/>
  <c r="K141" i="2" s="1"/>
  <c r="CZ20" i="2"/>
  <c r="CR74" i="2"/>
  <c r="AZ84" i="2"/>
  <c r="BU87" i="2"/>
  <c r="CQ87" i="2" s="1"/>
  <c r="AZ88" i="2"/>
  <c r="DA108" i="2"/>
  <c r="CD139" i="2"/>
  <c r="CD141" i="2" s="1"/>
  <c r="AC6" i="2"/>
  <c r="AY6" i="2" s="1"/>
  <c r="BV25" i="2"/>
  <c r="BU72" i="2"/>
  <c r="CQ72" i="2" s="1"/>
  <c r="AC73" i="2"/>
  <c r="AY73" i="2" s="1"/>
  <c r="BU73" i="2"/>
  <c r="CQ73" i="2" s="1"/>
  <c r="BI134" i="2"/>
  <c r="BI20" i="2"/>
  <c r="BB135" i="2"/>
  <c r="BB58" i="2"/>
  <c r="BU83" i="2"/>
  <c r="CQ83" i="2" s="1"/>
  <c r="BJ20" i="2"/>
  <c r="BS20" i="2"/>
  <c r="BA58" i="2"/>
  <c r="AC57" i="2"/>
  <c r="AY57" i="2" s="1"/>
  <c r="CW77" i="2"/>
  <c r="CR77" i="2" s="1"/>
  <c r="BV77" i="2"/>
  <c r="DJ108" i="2"/>
  <c r="BX140" i="2"/>
  <c r="BX108" i="2"/>
  <c r="BX130" i="2" s="1"/>
  <c r="BV104" i="2"/>
  <c r="CT104" i="2"/>
  <c r="CR104" i="2" s="1"/>
  <c r="AC14" i="2"/>
  <c r="AY14" i="2" s="1"/>
  <c r="DH20" i="2"/>
  <c r="BE58" i="2"/>
  <c r="CS135" i="2"/>
  <c r="CS58" i="2"/>
  <c r="DB58" i="2"/>
  <c r="CU22" i="2"/>
  <c r="CR22" i="2" s="1"/>
  <c r="BV22" i="2"/>
  <c r="AZ24" i="2"/>
  <c r="CT137" i="2"/>
  <c r="CT91" i="2"/>
  <c r="DC137" i="2"/>
  <c r="DC91" i="2"/>
  <c r="AC67" i="2"/>
  <c r="AY67" i="2" s="1"/>
  <c r="AZ74" i="2"/>
  <c r="BU12" i="2"/>
  <c r="CQ12" i="2" s="1"/>
  <c r="BU17" i="2"/>
  <c r="CQ17" i="2" s="1"/>
  <c r="BJ135" i="2"/>
  <c r="BJ58" i="2"/>
  <c r="AD23" i="2"/>
  <c r="BC23" i="2"/>
  <c r="AZ23" i="2" s="1"/>
  <c r="BV51" i="2"/>
  <c r="DL51" i="2"/>
  <c r="CR51" i="2" s="1"/>
  <c r="AA134" i="2"/>
  <c r="BT9" i="2"/>
  <c r="AA20" i="2"/>
  <c r="BD136" i="2"/>
  <c r="BD20" i="2"/>
  <c r="BL136" i="2"/>
  <c r="BL20" i="2"/>
  <c r="DF136" i="2"/>
  <c r="DF20" i="2"/>
  <c r="BD134" i="2"/>
  <c r="AC17" i="2"/>
  <c r="AY17" i="2" s="1"/>
  <c r="CR19" i="2"/>
  <c r="CA20" i="2"/>
  <c r="BF58" i="2"/>
  <c r="DA58" i="2"/>
  <c r="AZ46" i="2"/>
  <c r="BU46" i="2"/>
  <c r="CQ46" i="2" s="1"/>
  <c r="CV20" i="2"/>
  <c r="BG135" i="2"/>
  <c r="BG58" i="2"/>
  <c r="CU54" i="2"/>
  <c r="G54" i="2"/>
  <c r="BC54" i="2"/>
  <c r="AZ54" i="2" s="1"/>
  <c r="J58" i="2"/>
  <c r="BI137" i="2"/>
  <c r="BI91" i="2"/>
  <c r="BS137" i="2"/>
  <c r="BS91" i="2"/>
  <c r="AD100" i="2"/>
  <c r="AT140" i="2"/>
  <c r="BP100" i="2"/>
  <c r="AZ100" i="2" s="1"/>
  <c r="DC20" i="2"/>
  <c r="BU6" i="2"/>
  <c r="CQ6" i="2" s="1"/>
  <c r="CW135" i="2"/>
  <c r="CW58" i="2"/>
  <c r="DC58" i="2"/>
  <c r="CR24" i="2"/>
  <c r="CR27" i="2"/>
  <c r="BU30" i="2"/>
  <c r="CQ30" i="2" s="1"/>
  <c r="CT58" i="2"/>
  <c r="CS91" i="2"/>
  <c r="BI108" i="2"/>
  <c r="CS136" i="2"/>
  <c r="CR4" i="2"/>
  <c r="CS20" i="2"/>
  <c r="DA136" i="2"/>
  <c r="DA20" i="2"/>
  <c r="DJ136" i="2"/>
  <c r="DJ20" i="2"/>
  <c r="AJ136" i="2"/>
  <c r="AJ139" i="2" s="1"/>
  <c r="AJ141" i="2" s="1"/>
  <c r="AJ20" i="2"/>
  <c r="BF13" i="2"/>
  <c r="BF20" i="2" s="1"/>
  <c r="AD13" i="2"/>
  <c r="BU14" i="2"/>
  <c r="CQ14" i="2" s="1"/>
  <c r="AG135" i="2"/>
  <c r="AD21" i="2"/>
  <c r="BC21" i="2"/>
  <c r="AZ21" i="2" s="1"/>
  <c r="AG58" i="2"/>
  <c r="DG25" i="2"/>
  <c r="AD38" i="2"/>
  <c r="BM38" i="2"/>
  <c r="AC63" i="2"/>
  <c r="AY63" i="2" s="1"/>
  <c r="BG91" i="2"/>
  <c r="AZ69" i="2"/>
  <c r="BU74" i="2"/>
  <c r="CQ74" i="2" s="1"/>
  <c r="AC81" i="2"/>
  <c r="AY81" i="2" s="1"/>
  <c r="DE108" i="2"/>
  <c r="DE140" i="2"/>
  <c r="AA140" i="2"/>
  <c r="G96" i="2"/>
  <c r="AA108" i="2"/>
  <c r="DL96" i="2"/>
  <c r="CR96" i="2" s="1"/>
  <c r="BT96" i="2"/>
  <c r="AS140" i="2"/>
  <c r="AD107" i="2"/>
  <c r="DE132" i="2"/>
  <c r="BA132" i="2"/>
  <c r="AX133" i="2"/>
  <c r="AD112" i="2"/>
  <c r="AD118" i="2"/>
  <c r="BT118" i="2"/>
  <c r="AZ118" i="2" s="1"/>
  <c r="U138" i="2"/>
  <c r="U128" i="2"/>
  <c r="U130" i="2" s="1"/>
  <c r="BN121" i="2"/>
  <c r="BN128" i="2" s="1"/>
  <c r="DF121" i="2"/>
  <c r="DF128" i="2" s="1"/>
  <c r="G121" i="2"/>
  <c r="CW125" i="2"/>
  <c r="CR125" i="2" s="1"/>
  <c r="BV125" i="2"/>
  <c r="CA128" i="2"/>
  <c r="DD128" i="2"/>
  <c r="AA137" i="2"/>
  <c r="CX134" i="2"/>
  <c r="DF134" i="2"/>
  <c r="BC9" i="2"/>
  <c r="G9" i="2"/>
  <c r="CU9" i="2"/>
  <c r="AC18" i="2"/>
  <c r="AY18" i="2" s="1"/>
  <c r="DI135" i="2"/>
  <c r="DI139" i="2" s="1"/>
  <c r="DI141" i="2" s="1"/>
  <c r="DI58" i="2"/>
  <c r="DI130" i="2" s="1"/>
  <c r="DE39" i="2"/>
  <c r="AP135" i="2"/>
  <c r="AP58" i="2"/>
  <c r="BV44" i="2"/>
  <c r="DG44" i="2"/>
  <c r="CR44" i="2" s="1"/>
  <c r="BA137" i="2"/>
  <c r="BJ137" i="2"/>
  <c r="BJ91" i="2"/>
  <c r="CU137" i="2"/>
  <c r="DD137" i="2"/>
  <c r="BU68" i="2"/>
  <c r="CQ68" i="2" s="1"/>
  <c r="BE72" i="2"/>
  <c r="AZ72" i="2" s="1"/>
  <c r="AD72" i="2"/>
  <c r="BU79" i="2"/>
  <c r="CQ79" i="2" s="1"/>
  <c r="AZ80" i="2"/>
  <c r="BU86" i="2"/>
  <c r="CQ86" i="2" s="1"/>
  <c r="CU91" i="2"/>
  <c r="AZ94" i="2"/>
  <c r="BN108" i="2"/>
  <c r="AC98" i="2"/>
  <c r="AY98" i="2" s="1"/>
  <c r="AC106" i="2"/>
  <c r="AY106" i="2" s="1"/>
  <c r="BF132" i="2"/>
  <c r="BF128" i="2"/>
  <c r="CW132" i="2"/>
  <c r="BA133" i="2"/>
  <c r="DL116" i="2"/>
  <c r="CR116" i="2" s="1"/>
  <c r="BT116" i="2"/>
  <c r="AZ116" i="2" s="1"/>
  <c r="G116" i="2"/>
  <c r="BU116" i="2" s="1"/>
  <c r="CQ116" i="2" s="1"/>
  <c r="CA136" i="2"/>
  <c r="BT7" i="2"/>
  <c r="BB134" i="2"/>
  <c r="BY134" i="2"/>
  <c r="BY20" i="2"/>
  <c r="BV8" i="2"/>
  <c r="CR12" i="2"/>
  <c r="AZ19" i="2"/>
  <c r="CV135" i="2"/>
  <c r="CV58" i="2"/>
  <c r="AX135" i="2"/>
  <c r="AX58" i="2"/>
  <c r="CR32" i="2"/>
  <c r="AZ34" i="2"/>
  <c r="DG35" i="2"/>
  <c r="CR35" i="2" s="1"/>
  <c r="CI135" i="2"/>
  <c r="CI58" i="2"/>
  <c r="DE37" i="2"/>
  <c r="CR37" i="2" s="1"/>
  <c r="BV37" i="2"/>
  <c r="BU53" i="2"/>
  <c r="CQ53" i="2" s="1"/>
  <c r="DG53" i="2"/>
  <c r="CR53" i="2" s="1"/>
  <c r="BB137" i="2"/>
  <c r="BB91" i="2"/>
  <c r="BK137" i="2"/>
  <c r="CV137" i="2"/>
  <c r="AZ61" i="2"/>
  <c r="BR137" i="2"/>
  <c r="BR91" i="2"/>
  <c r="CW64" i="2"/>
  <c r="BT65" i="2"/>
  <c r="CR78" i="2"/>
  <c r="AZ79" i="2"/>
  <c r="CR79" i="2"/>
  <c r="AZ85" i="2"/>
  <c r="AD89" i="2"/>
  <c r="BE89" i="2"/>
  <c r="AZ89" i="2" s="1"/>
  <c r="BK91" i="2"/>
  <c r="CV91" i="2"/>
  <c r="BM140" i="2"/>
  <c r="BM108" i="2"/>
  <c r="CU108" i="2"/>
  <c r="DC140" i="2"/>
  <c r="DC108" i="2"/>
  <c r="AZ99" i="2"/>
  <c r="BU111" i="2"/>
  <c r="CQ111" i="2" s="1"/>
  <c r="CA91" i="2"/>
  <c r="CY132" i="2"/>
  <c r="CY128" i="2"/>
  <c r="DK136" i="2"/>
  <c r="CP136" i="2"/>
  <c r="CP20" i="2"/>
  <c r="J136" i="2"/>
  <c r="CU7" i="2"/>
  <c r="G7" i="2"/>
  <c r="J134" i="2"/>
  <c r="CU8" i="2"/>
  <c r="BC8" i="2"/>
  <c r="DA134" i="2"/>
  <c r="DJ134" i="2"/>
  <c r="BD91" i="2"/>
  <c r="BU67" i="2"/>
  <c r="CQ67" i="2" s="1"/>
  <c r="CR94" i="2"/>
  <c r="BY132" i="2"/>
  <c r="BY128" i="2"/>
  <c r="BV109" i="2"/>
  <c r="CZ132" i="2"/>
  <c r="CZ128" i="2"/>
  <c r="DJ132" i="2"/>
  <c r="CS133" i="2"/>
  <c r="BU114" i="2"/>
  <c r="CQ114" i="2" s="1"/>
  <c r="DE120" i="2"/>
  <c r="CR120" i="2" s="1"/>
  <c r="BV120" i="2"/>
  <c r="CI133" i="2"/>
  <c r="CR126" i="2"/>
  <c r="BA136" i="2"/>
  <c r="AZ4" i="2"/>
  <c r="BI136" i="2"/>
  <c r="BR136" i="2"/>
  <c r="L136" i="2"/>
  <c r="L20" i="2"/>
  <c r="L130" i="2" s="1"/>
  <c r="BE7" i="2"/>
  <c r="BF134" i="2"/>
  <c r="BN134" i="2"/>
  <c r="CS134" i="2"/>
  <c r="DB134" i="2"/>
  <c r="DK134" i="2"/>
  <c r="CR10" i="2"/>
  <c r="CR14" i="2"/>
  <c r="G16" i="2"/>
  <c r="BW130" i="2"/>
  <c r="CY135" i="2"/>
  <c r="CY58" i="2"/>
  <c r="AC28" i="2"/>
  <c r="AY28" i="2" s="1"/>
  <c r="BO28" i="2"/>
  <c r="AZ28" i="2" s="1"/>
  <c r="AQ135" i="2"/>
  <c r="AQ58" i="2"/>
  <c r="BM37" i="2"/>
  <c r="AZ37" i="2" s="1"/>
  <c r="AD37" i="2"/>
  <c r="BM39" i="2"/>
  <c r="CH135" i="2"/>
  <c r="CH139" i="2" s="1"/>
  <c r="CH141" i="2" s="1"/>
  <c r="CH58" i="2"/>
  <c r="AZ55" i="2"/>
  <c r="AD56" i="2"/>
  <c r="BV57" i="2"/>
  <c r="DL57" i="2"/>
  <c r="CR57" i="2" s="1"/>
  <c r="CZ137" i="2"/>
  <c r="CZ91" i="2"/>
  <c r="DH91" i="2"/>
  <c r="BE64" i="2"/>
  <c r="BE78" i="2"/>
  <c r="AZ78" i="2" s="1"/>
  <c r="AD78" i="2"/>
  <c r="AD83" i="2"/>
  <c r="BE83" i="2"/>
  <c r="AZ83" i="2" s="1"/>
  <c r="BU89" i="2"/>
  <c r="CQ89" i="2" s="1"/>
  <c r="BS108" i="2"/>
  <c r="CX140" i="2"/>
  <c r="DF140" i="2"/>
  <c r="DF108" i="2"/>
  <c r="DK108" i="2"/>
  <c r="BU106" i="2"/>
  <c r="CQ106" i="2" s="1"/>
  <c r="BL132" i="2"/>
  <c r="BL128" i="2"/>
  <c r="M137" i="2"/>
  <c r="CX59" i="2"/>
  <c r="BF59" i="2"/>
  <c r="CR60" i="2"/>
  <c r="BF108" i="2"/>
  <c r="BC109" i="2"/>
  <c r="J132" i="2"/>
  <c r="J128" i="2"/>
  <c r="G109" i="2"/>
  <c r="AC109" i="2" s="1"/>
  <c r="AY109" i="2" s="1"/>
  <c r="DH132" i="2"/>
  <c r="DH128" i="2"/>
  <c r="CT136" i="2"/>
  <c r="DB136" i="2"/>
  <c r="CJ136" i="2"/>
  <c r="CJ139" i="2" s="1"/>
  <c r="CJ141" i="2" s="1"/>
  <c r="CJ20" i="2"/>
  <c r="DB20" i="2"/>
  <c r="BK135" i="2"/>
  <c r="BK58" i="2"/>
  <c r="CR46" i="2"/>
  <c r="AC53" i="2"/>
  <c r="AY53" i="2" s="1"/>
  <c r="DL61" i="2"/>
  <c r="CR61" i="2" s="1"/>
  <c r="BV61" i="2"/>
  <c r="BE133" i="2"/>
  <c r="BB136" i="2"/>
  <c r="BJ136" i="2"/>
  <c r="BS136" i="2"/>
  <c r="CV136" i="2"/>
  <c r="DD136" i="2"/>
  <c r="AX136" i="2"/>
  <c r="AG134" i="2"/>
  <c r="AD8" i="2"/>
  <c r="CT134" i="2"/>
  <c r="AZ11" i="2"/>
  <c r="AN130" i="2"/>
  <c r="AX20" i="2"/>
  <c r="DD20" i="2"/>
  <c r="BE135" i="2"/>
  <c r="CZ135" i="2"/>
  <c r="DH135" i="2"/>
  <c r="DH58" i="2"/>
  <c r="DL31" i="2"/>
  <c r="CR31" i="2" s="1"/>
  <c r="DG33" i="2"/>
  <c r="CR33" i="2" s="1"/>
  <c r="AD34" i="2"/>
  <c r="DL38" i="2"/>
  <c r="BT38" i="2"/>
  <c r="G38" i="2"/>
  <c r="AD55" i="2"/>
  <c r="AS58" i="2"/>
  <c r="CO58" i="2"/>
  <c r="CO130" i="2" s="1"/>
  <c r="DA137" i="2"/>
  <c r="DA91" i="2"/>
  <c r="DJ137" i="2"/>
  <c r="DJ91" i="2"/>
  <c r="AC69" i="2"/>
  <c r="AY69" i="2" s="1"/>
  <c r="AD80" i="2"/>
  <c r="CR80" i="2"/>
  <c r="BE86" i="2"/>
  <c r="AZ86" i="2" s="1"/>
  <c r="AD86" i="2"/>
  <c r="AC88" i="2"/>
  <c r="AY88" i="2" s="1"/>
  <c r="BA140" i="2"/>
  <c r="AZ93" i="2"/>
  <c r="BI140" i="2"/>
  <c r="CY140" i="2"/>
  <c r="CY108" i="2"/>
  <c r="CR105" i="2"/>
  <c r="CV108" i="2"/>
  <c r="BD111" i="2"/>
  <c r="AD111" i="2"/>
  <c r="BU64" i="2"/>
  <c r="CQ64" i="2" s="1"/>
  <c r="BT73" i="2"/>
  <c r="AZ73" i="2" s="1"/>
  <c r="DL73" i="2"/>
  <c r="CR73" i="2" s="1"/>
  <c r="AD115" i="2"/>
  <c r="BC115" i="2"/>
  <c r="BC136" i="2"/>
  <c r="BK136" i="2"/>
  <c r="BK20" i="2"/>
  <c r="BH134" i="2"/>
  <c r="BP134" i="2"/>
  <c r="BQ134" i="2"/>
  <c r="BQ139" i="2" s="1"/>
  <c r="BQ141" i="2" s="1"/>
  <c r="CR16" i="2"/>
  <c r="J20" i="2"/>
  <c r="BA20" i="2"/>
  <c r="CT20" i="2"/>
  <c r="BF135" i="2"/>
  <c r="BN135" i="2"/>
  <c r="BN58" i="2"/>
  <c r="DA135" i="2"/>
  <c r="DJ135" i="2"/>
  <c r="BO27" i="2"/>
  <c r="AZ27" i="2" s="1"/>
  <c r="G27" i="2"/>
  <c r="BU27" i="2" s="1"/>
  <c r="CQ27" i="2" s="1"/>
  <c r="DG29" i="2"/>
  <c r="CR29" i="2" s="1"/>
  <c r="AZ35" i="2"/>
  <c r="DJ58" i="2"/>
  <c r="CA137" i="2"/>
  <c r="BV63" i="2"/>
  <c r="CR66" i="2"/>
  <c r="CR67" i="2"/>
  <c r="CR69" i="2"/>
  <c r="AC75" i="2"/>
  <c r="AY75" i="2" s="1"/>
  <c r="AC90" i="2"/>
  <c r="AY90" i="2" s="1"/>
  <c r="BJ140" i="2"/>
  <c r="BJ108" i="2"/>
  <c r="CL140" i="2"/>
  <c r="BV93" i="2"/>
  <c r="DH93" i="2"/>
  <c r="CL108" i="2"/>
  <c r="CL130" i="2" s="1"/>
  <c r="AC95" i="2"/>
  <c r="AY95" i="2" s="1"/>
  <c r="DL103" i="2"/>
  <c r="CR103" i="2" s="1"/>
  <c r="BT103" i="2"/>
  <c r="G103" i="2"/>
  <c r="AI140" i="2"/>
  <c r="AI108" i="2"/>
  <c r="BE104" i="2"/>
  <c r="BE140" i="2" s="1"/>
  <c r="AD104" i="2"/>
  <c r="BO107" i="2"/>
  <c r="BO108" i="2" s="1"/>
  <c r="AS108" i="2"/>
  <c r="BJ110" i="2"/>
  <c r="BJ128" i="2" s="1"/>
  <c r="G110" i="2"/>
  <c r="Q128" i="2"/>
  <c r="Q130" i="2" s="1"/>
  <c r="DB110" i="2"/>
  <c r="DB132" i="2" s="1"/>
  <c r="DC136" i="2"/>
  <c r="AI136" i="2"/>
  <c r="BE5" i="2"/>
  <c r="BG134" i="2"/>
  <c r="BO134" i="2"/>
  <c r="CY134" i="2"/>
  <c r="DG134" i="2"/>
  <c r="AU130" i="2"/>
  <c r="BD135" i="2"/>
  <c r="BY135" i="2"/>
  <c r="CX135" i="2"/>
  <c r="CX58" i="2"/>
  <c r="DF135" i="2"/>
  <c r="DF58" i="2"/>
  <c r="AS135" i="2"/>
  <c r="AS139" i="2" s="1"/>
  <c r="V135" i="2"/>
  <c r="DG26" i="2"/>
  <c r="CR26" i="2" s="1"/>
  <c r="AA135" i="2"/>
  <c r="CP135" i="2"/>
  <c r="CP58" i="2"/>
  <c r="BR135" i="2"/>
  <c r="BR58" i="2"/>
  <c r="DE38" i="2"/>
  <c r="CK38" i="2"/>
  <c r="BL41" i="2"/>
  <c r="BL58" i="2" s="1"/>
  <c r="BO50" i="2"/>
  <c r="AZ50" i="2" s="1"/>
  <c r="AC52" i="2"/>
  <c r="AY52" i="2" s="1"/>
  <c r="M135" i="2"/>
  <c r="M58" i="2"/>
  <c r="Z58" i="2"/>
  <c r="Z130" i="2" s="1"/>
  <c r="BD58" i="2"/>
  <c r="BH91" i="2"/>
  <c r="BH137" i="2"/>
  <c r="BP136" i="2"/>
  <c r="BP91" i="2"/>
  <c r="CS137" i="2"/>
  <c r="AQ137" i="2"/>
  <c r="BM62" i="2"/>
  <c r="AZ62" i="2" s="1"/>
  <c r="AD62" i="2"/>
  <c r="AQ91" i="2"/>
  <c r="CR75" i="2"/>
  <c r="CV140" i="2"/>
  <c r="DD140" i="2"/>
  <c r="DD108" i="2"/>
  <c r="BL108" i="2"/>
  <c r="CP140" i="2"/>
  <c r="CP108" i="2"/>
  <c r="BV96" i="2"/>
  <c r="BP103" i="2"/>
  <c r="AD103" i="2"/>
  <c r="BH128" i="2"/>
  <c r="BS132" i="2"/>
  <c r="BS128" i="2"/>
  <c r="BT110" i="2"/>
  <c r="DL110" i="2"/>
  <c r="AA132" i="2"/>
  <c r="BG136" i="2"/>
  <c r="BO136" i="2"/>
  <c r="CY136" i="2"/>
  <c r="DG136" i="2"/>
  <c r="BK134" i="2"/>
  <c r="DC134" i="2"/>
  <c r="H130" i="2"/>
  <c r="Y130" i="2"/>
  <c r="AI20" i="2"/>
  <c r="AQ20" i="2"/>
  <c r="BG20" i="2"/>
  <c r="BO20" i="2"/>
  <c r="BH135" i="2"/>
  <c r="CT135" i="2"/>
  <c r="DB135" i="2"/>
  <c r="DK39" i="2"/>
  <c r="AZ56" i="2"/>
  <c r="V58" i="2"/>
  <c r="BH58" i="2"/>
  <c r="AA91" i="2"/>
  <c r="BC137" i="2"/>
  <c r="CI137" i="2"/>
  <c r="DE62" i="2"/>
  <c r="BV62" i="2"/>
  <c r="AZ67" i="2"/>
  <c r="AC85" i="2"/>
  <c r="AY85" i="2" s="1"/>
  <c r="BU95" i="2"/>
  <c r="CQ95" i="2" s="1"/>
  <c r="BP96" i="2"/>
  <c r="AD96" i="2"/>
  <c r="BU98" i="2"/>
  <c r="CQ98" i="2" s="1"/>
  <c r="DH101" i="2"/>
  <c r="BV101" i="2"/>
  <c r="AT108" i="2"/>
  <c r="AT130" i="2" s="1"/>
  <c r="O132" i="2"/>
  <c r="O139" i="2" s="1"/>
  <c r="O141" i="2" s="1"/>
  <c r="O128" i="2"/>
  <c r="O130" i="2" s="1"/>
  <c r="BE122" i="2"/>
  <c r="AZ122" i="2" s="1"/>
  <c r="AI128" i="2"/>
  <c r="AD122" i="2"/>
  <c r="BH136" i="2"/>
  <c r="BP135" i="2"/>
  <c r="CZ136" i="2"/>
  <c r="DH136" i="2"/>
  <c r="AA136" i="2"/>
  <c r="BT5" i="2"/>
  <c r="BL134" i="2"/>
  <c r="CV134" i="2"/>
  <c r="DD134" i="2"/>
  <c r="BN13" i="2"/>
  <c r="BN20" i="2" s="1"/>
  <c r="AR20" i="2"/>
  <c r="AR130" i="2" s="1"/>
  <c r="BH20" i="2"/>
  <c r="BP20" i="2"/>
  <c r="BA135" i="2"/>
  <c r="BI135" i="2"/>
  <c r="CU21" i="2"/>
  <c r="DC135" i="2"/>
  <c r="BT30" i="2"/>
  <c r="AZ30" i="2" s="1"/>
  <c r="DL30" i="2"/>
  <c r="BS39" i="2"/>
  <c r="AC44" i="2"/>
  <c r="AY44" i="2" s="1"/>
  <c r="AC47" i="2"/>
  <c r="AY47" i="2" s="1"/>
  <c r="BO47" i="2"/>
  <c r="AZ47" i="2" s="1"/>
  <c r="CR49" i="2"/>
  <c r="BI58" i="2"/>
  <c r="BD137" i="2"/>
  <c r="CR70" i="2"/>
  <c r="G76" i="2"/>
  <c r="BE76" i="2"/>
  <c r="AZ76" i="2" s="1"/>
  <c r="CR81" i="2"/>
  <c r="DH95" i="2"/>
  <c r="CR95" i="2" s="1"/>
  <c r="AX140" i="2"/>
  <c r="AX108" i="2"/>
  <c r="AZ117" i="2"/>
  <c r="DB137" i="2"/>
  <c r="DK137" i="2"/>
  <c r="L137" i="2"/>
  <c r="DB91" i="2"/>
  <c r="BK140" i="2"/>
  <c r="DL101" i="2"/>
  <c r="BT101" i="2"/>
  <c r="AZ101" i="2" s="1"/>
  <c r="G101" i="2"/>
  <c r="N132" i="2"/>
  <c r="N139" i="2" s="1"/>
  <c r="N141" i="2" s="1"/>
  <c r="N128" i="2"/>
  <c r="N130" i="2" s="1"/>
  <c r="BG109" i="2"/>
  <c r="BI128" i="2"/>
  <c r="DG132" i="2"/>
  <c r="AV138" i="2"/>
  <c r="AV128" i="2"/>
  <c r="AV130" i="2" s="1"/>
  <c r="BR121" i="2"/>
  <c r="AD121" i="2"/>
  <c r="AI137" i="2"/>
  <c r="AI91" i="2"/>
  <c r="BF140" i="2"/>
  <c r="BN140" i="2"/>
  <c r="CZ140" i="2"/>
  <c r="CZ108" i="2"/>
  <c r="BK109" i="2"/>
  <c r="R128" i="2"/>
  <c r="R130" i="2" s="1"/>
  <c r="DC109" i="2"/>
  <c r="BM132" i="2"/>
  <c r="DA132" i="2"/>
  <c r="DA128" i="2"/>
  <c r="DK132" i="2"/>
  <c r="DK128" i="2"/>
  <c r="BZ128" i="2"/>
  <c r="BZ130" i="2" s="1"/>
  <c r="CV110" i="2"/>
  <c r="CV132" i="2" s="1"/>
  <c r="V133" i="2"/>
  <c r="V128" i="2"/>
  <c r="DG119" i="2"/>
  <c r="DG133" i="2" s="1"/>
  <c r="BO119" i="2"/>
  <c r="BO128" i="2" s="1"/>
  <c r="BB128" i="2"/>
  <c r="BU40" i="2"/>
  <c r="CQ40" i="2" s="1"/>
  <c r="AX137" i="2"/>
  <c r="BN137" i="2"/>
  <c r="CP137" i="2"/>
  <c r="DF137" i="2"/>
  <c r="AJ91" i="2"/>
  <c r="CP91" i="2"/>
  <c r="DF91" i="2"/>
  <c r="CS140" i="2"/>
  <c r="DA140" i="2"/>
  <c r="DJ140" i="2"/>
  <c r="BU99" i="2"/>
  <c r="CQ99" i="2" s="1"/>
  <c r="BK108" i="2"/>
  <c r="AA128" i="2"/>
  <c r="BN132" i="2"/>
  <c r="CS132" i="2"/>
  <c r="CS128" i="2"/>
  <c r="AH132" i="2"/>
  <c r="AH139" i="2" s="1"/>
  <c r="AH141" i="2" s="1"/>
  <c r="CG132" i="2"/>
  <c r="CG139" i="2" s="1"/>
  <c r="CG141" i="2" s="1"/>
  <c r="CG128" i="2"/>
  <c r="CG130" i="2" s="1"/>
  <c r="AG133" i="2"/>
  <c r="BC112" i="2"/>
  <c r="BG133" i="2"/>
  <c r="CV133" i="2"/>
  <c r="CR124" i="2"/>
  <c r="J135" i="2"/>
  <c r="CU50" i="2"/>
  <c r="BG137" i="2"/>
  <c r="BO137" i="2"/>
  <c r="CY137" i="2"/>
  <c r="DG137" i="2"/>
  <c r="BT90" i="2"/>
  <c r="AZ90" i="2" s="1"/>
  <c r="CH91" i="2"/>
  <c r="CY91" i="2"/>
  <c r="DG91" i="2"/>
  <c r="BH140" i="2"/>
  <c r="BH108" i="2"/>
  <c r="DB140" i="2"/>
  <c r="DK140" i="2"/>
  <c r="AG140" i="2"/>
  <c r="BC104" i="2"/>
  <c r="AD105" i="2"/>
  <c r="BP105" i="2"/>
  <c r="AZ105" i="2" s="1"/>
  <c r="V140" i="2"/>
  <c r="V108" i="2"/>
  <c r="CS108" i="2"/>
  <c r="BO132" i="2"/>
  <c r="DD132" i="2"/>
  <c r="AO128" i="2"/>
  <c r="AO130" i="2" s="1"/>
  <c r="AO132" i="2"/>
  <c r="AO133" i="2"/>
  <c r="BK112" i="2"/>
  <c r="BK133" i="2" s="1"/>
  <c r="BS133" i="2"/>
  <c r="CW133" i="2"/>
  <c r="AH128" i="2"/>
  <c r="AH130" i="2" s="1"/>
  <c r="CX132" i="2"/>
  <c r="CX128" i="2"/>
  <c r="DF132" i="2"/>
  <c r="AX132" i="2"/>
  <c r="AX128" i="2"/>
  <c r="CP132" i="2"/>
  <c r="CP128" i="2"/>
  <c r="AA133" i="2"/>
  <c r="BT112" i="2"/>
  <c r="BY133" i="2"/>
  <c r="BV112" i="2"/>
  <c r="CX133" i="2"/>
  <c r="DF133" i="2"/>
  <c r="AD114" i="2"/>
  <c r="BC114" i="2"/>
  <c r="AZ114" i="2" s="1"/>
  <c r="G119" i="2"/>
  <c r="AC119" i="2" s="1"/>
  <c r="AY119" i="2" s="1"/>
  <c r="BC119" i="2"/>
  <c r="BU123" i="2"/>
  <c r="CQ123" i="2" s="1"/>
  <c r="AC125" i="2"/>
  <c r="AY125" i="2" s="1"/>
  <c r="AK139" i="2"/>
  <c r="AK141" i="2" s="1"/>
  <c r="CP133" i="2"/>
  <c r="AC113" i="2"/>
  <c r="AY113" i="2" s="1"/>
  <c r="AQ133" i="2"/>
  <c r="BM120" i="2"/>
  <c r="AD120" i="2"/>
  <c r="P128" i="2"/>
  <c r="P130" i="2" s="1"/>
  <c r="CW122" i="2"/>
  <c r="BV122" i="2"/>
  <c r="BD140" i="2"/>
  <c r="BL140" i="2"/>
  <c r="CW140" i="2"/>
  <c r="AF108" i="2"/>
  <c r="AF130" i="2" s="1"/>
  <c r="AG128" i="2"/>
  <c r="AG132" i="2"/>
  <c r="BP137" i="2"/>
  <c r="BP128" i="2"/>
  <c r="CT128" i="2"/>
  <c r="AD110" i="2"/>
  <c r="BC110" i="2"/>
  <c r="CU112" i="2"/>
  <c r="DL112" i="2"/>
  <c r="DL115" i="2"/>
  <c r="CU115" i="2"/>
  <c r="BV115" i="2"/>
  <c r="CU119" i="2"/>
  <c r="BE123" i="2"/>
  <c r="AD123" i="2"/>
  <c r="AZ124" i="2"/>
  <c r="K128" i="2"/>
  <c r="K130" i="2" s="1"/>
  <c r="BH133" i="2"/>
  <c r="BP133" i="2"/>
  <c r="CZ133" i="2"/>
  <c r="DH133" i="2"/>
  <c r="DC115" i="2"/>
  <c r="DC133" i="2" s="1"/>
  <c r="CT133" i="2"/>
  <c r="DB133" i="2"/>
  <c r="AD127" i="2"/>
  <c r="BV127" i="2"/>
  <c r="U139" i="2"/>
  <c r="U141" i="2" s="1"/>
  <c r="AF139" i="2"/>
  <c r="AF141" i="2" s="1"/>
  <c r="AW139" i="2"/>
  <c r="AW141" i="2" s="1"/>
  <c r="BW139" i="2"/>
  <c r="BW141" i="2" s="1"/>
  <c r="CE139" i="2"/>
  <c r="CE141" i="2" s="1"/>
  <c r="CM139" i="2"/>
  <c r="CM141" i="2" s="1"/>
  <c r="BX139" i="2"/>
  <c r="CF139" i="2"/>
  <c r="CF141" i="2" s="1"/>
  <c r="CN139" i="2"/>
  <c r="CN141" i="2" s="1"/>
  <c r="BD133" i="2"/>
  <c r="BL133" i="2"/>
  <c r="H139" i="2"/>
  <c r="H141" i="2" s="1"/>
  <c r="Y139" i="2"/>
  <c r="Y141" i="2" s="1"/>
  <c r="AE139" i="2"/>
  <c r="AE141" i="2" s="1"/>
  <c r="AM139" i="2"/>
  <c r="AM141" i="2" s="1"/>
  <c r="AU139" i="2"/>
  <c r="AU141" i="2" s="1"/>
  <c r="CB139" i="2"/>
  <c r="CB141" i="2" s="1"/>
  <c r="CW58" i="1"/>
  <c r="CF130" i="1"/>
  <c r="BA58" i="1"/>
  <c r="BI58" i="1"/>
  <c r="CR40" i="1"/>
  <c r="DP40" i="1" s="1"/>
  <c r="H139" i="1"/>
  <c r="H141" i="1" s="1"/>
  <c r="AK139" i="1"/>
  <c r="AK141" i="1" s="1"/>
  <c r="Y139" i="1"/>
  <c r="Y141" i="1" s="1"/>
  <c r="AK130" i="1"/>
  <c r="AK142" i="1" s="1"/>
  <c r="CY58" i="1"/>
  <c r="CC139" i="1"/>
  <c r="CC141" i="1" s="1"/>
  <c r="CL139" i="1"/>
  <c r="N130" i="1"/>
  <c r="AU130" i="1"/>
  <c r="AZ40" i="1"/>
  <c r="AE139" i="1"/>
  <c r="AE141" i="1" s="1"/>
  <c r="AE142" i="1" s="1"/>
  <c r="AN139" i="1"/>
  <c r="AN141" i="1" s="1"/>
  <c r="CM139" i="1"/>
  <c r="CM141" i="1" s="1"/>
  <c r="CM142" i="1" s="1"/>
  <c r="DP16" i="1"/>
  <c r="DP28" i="1"/>
  <c r="DL20" i="1"/>
  <c r="BU6" i="1"/>
  <c r="CQ6" i="1" s="1"/>
  <c r="CR16" i="1"/>
  <c r="CA136" i="1"/>
  <c r="CA20" i="1"/>
  <c r="BO42" i="1"/>
  <c r="AZ42" i="1" s="1"/>
  <c r="AD42" i="1"/>
  <c r="J135" i="1"/>
  <c r="G50" i="1"/>
  <c r="J58" i="1"/>
  <c r="CU50" i="1"/>
  <c r="AP137" i="1"/>
  <c r="AP139" i="1" s="1"/>
  <c r="AP141" i="1" s="1"/>
  <c r="AP91" i="1"/>
  <c r="BL64" i="1"/>
  <c r="BL137" i="1" s="1"/>
  <c r="DG20" i="1"/>
  <c r="CR39" i="1"/>
  <c r="CH135" i="1"/>
  <c r="CH58" i="1"/>
  <c r="BV41" i="1"/>
  <c r="DD41" i="1"/>
  <c r="AC53" i="1"/>
  <c r="AY53" i="1" s="1"/>
  <c r="DN56" i="1"/>
  <c r="BI137" i="1"/>
  <c r="BI91" i="1"/>
  <c r="BU66" i="1"/>
  <c r="CQ66" i="1" s="1"/>
  <c r="DP66" i="1"/>
  <c r="AC68" i="1"/>
  <c r="AY68" i="1" s="1"/>
  <c r="BH132" i="1"/>
  <c r="BH128" i="1"/>
  <c r="CZ128" i="1"/>
  <c r="CZ132" i="1"/>
  <c r="BG136" i="1"/>
  <c r="BO136" i="1"/>
  <c r="CS136" i="1"/>
  <c r="CS20" i="1"/>
  <c r="DA136" i="1"/>
  <c r="DA20" i="1"/>
  <c r="DJ136" i="1"/>
  <c r="DJ20" i="1"/>
  <c r="CS134" i="1"/>
  <c r="DA134" i="1"/>
  <c r="DJ134" i="1"/>
  <c r="AJ136" i="1"/>
  <c r="AJ20" i="1"/>
  <c r="BF13" i="1"/>
  <c r="BF20" i="1" s="1"/>
  <c r="CJ136" i="1"/>
  <c r="CJ139" i="1" s="1"/>
  <c r="CJ141" i="1" s="1"/>
  <c r="CJ20" i="1"/>
  <c r="DF13" i="1"/>
  <c r="DF136" i="1" s="1"/>
  <c r="AI20" i="1"/>
  <c r="CV135" i="1"/>
  <c r="CV58" i="1"/>
  <c r="AZ38" i="1"/>
  <c r="BU54" i="1"/>
  <c r="CQ54" i="1" s="1"/>
  <c r="AZ55" i="1"/>
  <c r="BU62" i="1"/>
  <c r="CQ62" i="1" s="1"/>
  <c r="AC63" i="1"/>
  <c r="AY63" i="1" s="1"/>
  <c r="CA137" i="1"/>
  <c r="CW64" i="1"/>
  <c r="BV64" i="1"/>
  <c r="CA91" i="1"/>
  <c r="AD72" i="1"/>
  <c r="BE72" i="1"/>
  <c r="AZ72" i="1" s="1"/>
  <c r="BE76" i="1"/>
  <c r="AZ76" i="1" s="1"/>
  <c r="DO76" i="1" s="1"/>
  <c r="DO85" i="1"/>
  <c r="AC85" i="1"/>
  <c r="AY85" i="1" s="1"/>
  <c r="BS108" i="1"/>
  <c r="AA132" i="1"/>
  <c r="AA128" i="1"/>
  <c r="DL109" i="1"/>
  <c r="BT7" i="1"/>
  <c r="AG134" i="1"/>
  <c r="AD8" i="1"/>
  <c r="AR136" i="1"/>
  <c r="AR139" i="1" s="1"/>
  <c r="AR141" i="1" s="1"/>
  <c r="AR20" i="1"/>
  <c r="BN13" i="1"/>
  <c r="BN136" i="1" s="1"/>
  <c r="AZ14" i="1"/>
  <c r="DO14" i="1" s="1"/>
  <c r="AZ17" i="1"/>
  <c r="DO17" i="1" s="1"/>
  <c r="CR18" i="1"/>
  <c r="DP18" i="1" s="1"/>
  <c r="BW130" i="1"/>
  <c r="CV20" i="1"/>
  <c r="BJ135" i="1"/>
  <c r="BJ58" i="1"/>
  <c r="BC23" i="1"/>
  <c r="AZ23" i="1" s="1"/>
  <c r="DO23" i="1" s="1"/>
  <c r="BV23" i="1"/>
  <c r="AS58" i="1"/>
  <c r="AS130" i="1" s="1"/>
  <c r="CR32" i="1"/>
  <c r="DP32" i="1" s="1"/>
  <c r="CR36" i="1"/>
  <c r="BU55" i="1"/>
  <c r="CQ55" i="1" s="1"/>
  <c r="BU57" i="1"/>
  <c r="CQ57" i="1" s="1"/>
  <c r="CO58" i="1"/>
  <c r="CO130" i="1" s="1"/>
  <c r="BK91" i="1"/>
  <c r="CZ137" i="1"/>
  <c r="CZ91" i="1"/>
  <c r="DH137" i="1"/>
  <c r="DH91" i="1"/>
  <c r="DL60" i="1"/>
  <c r="CR60" i="1" s="1"/>
  <c r="BV60" i="1"/>
  <c r="AZ61" i="1"/>
  <c r="DO61" i="1" s="1"/>
  <c r="CY91" i="1"/>
  <c r="CH137" i="1"/>
  <c r="CH91" i="1"/>
  <c r="DD64" i="1"/>
  <c r="DD91" i="1" s="1"/>
  <c r="BU67" i="1"/>
  <c r="CQ67" i="1" s="1"/>
  <c r="T137" i="1"/>
  <c r="DE82" i="1"/>
  <c r="G82" i="1"/>
  <c r="DP84" i="1"/>
  <c r="CR88" i="1"/>
  <c r="DP88" i="1" s="1"/>
  <c r="T91" i="1"/>
  <c r="AC97" i="1"/>
  <c r="AY97" i="1" s="1"/>
  <c r="CW13" i="1"/>
  <c r="CT135" i="1"/>
  <c r="CT58" i="1"/>
  <c r="P130" i="1"/>
  <c r="BB135" i="1"/>
  <c r="BB58" i="1"/>
  <c r="G38" i="1"/>
  <c r="DN38" i="1" s="1"/>
  <c r="DL38" i="1"/>
  <c r="AC41" i="1"/>
  <c r="AY41" i="1" s="1"/>
  <c r="DG42" i="1"/>
  <c r="CR42" i="1" s="1"/>
  <c r="BV42" i="1"/>
  <c r="BA134" i="1"/>
  <c r="BI134" i="1"/>
  <c r="BS134" i="1"/>
  <c r="BT9" i="1"/>
  <c r="DL9" i="1"/>
  <c r="DL134" i="1" s="1"/>
  <c r="H130" i="1"/>
  <c r="BI20" i="1"/>
  <c r="BI130" i="1" s="1"/>
  <c r="CY20" i="1"/>
  <c r="BU27" i="1"/>
  <c r="CQ27" i="1" s="1"/>
  <c r="BU31" i="1"/>
  <c r="CQ31" i="1" s="1"/>
  <c r="BV53" i="1"/>
  <c r="BC54" i="1"/>
  <c r="AZ54" i="1" s="1"/>
  <c r="DO54" i="1" s="1"/>
  <c r="G54" i="1"/>
  <c r="DN54" i="1" s="1"/>
  <c r="BG58" i="1"/>
  <c r="BM137" i="1"/>
  <c r="BM91" i="1"/>
  <c r="CS137" i="1"/>
  <c r="CS91" i="1"/>
  <c r="DB137" i="1"/>
  <c r="DB91" i="1"/>
  <c r="DK137" i="1"/>
  <c r="AQ137" i="1"/>
  <c r="AQ139" i="1" s="1"/>
  <c r="AQ141" i="1" s="1"/>
  <c r="AQ91" i="1"/>
  <c r="CR62" i="1"/>
  <c r="DP62" i="1" s="1"/>
  <c r="AD66" i="1"/>
  <c r="CR67" i="1"/>
  <c r="CR69" i="1"/>
  <c r="DP75" i="1"/>
  <c r="DN79" i="1"/>
  <c r="BU79" i="1"/>
  <c r="CQ79" i="1" s="1"/>
  <c r="CR89" i="1"/>
  <c r="DP89" i="1" s="1"/>
  <c r="BV22" i="1"/>
  <c r="CU22" i="1"/>
  <c r="BU35" i="1"/>
  <c r="CQ35" i="1" s="1"/>
  <c r="Z135" i="1"/>
  <c r="Z139" i="1" s="1"/>
  <c r="Z141" i="1" s="1"/>
  <c r="Z58" i="1"/>
  <c r="Z130" i="1" s="1"/>
  <c r="BS39" i="1"/>
  <c r="AZ39" i="1" s="1"/>
  <c r="DO39" i="1" s="1"/>
  <c r="G39" i="1"/>
  <c r="CW71" i="1"/>
  <c r="CR71" i="1" s="1"/>
  <c r="DP71" i="1" s="1"/>
  <c r="G71" i="1"/>
  <c r="DD140" i="1"/>
  <c r="DD108" i="1"/>
  <c r="BA130" i="1"/>
  <c r="BH135" i="1"/>
  <c r="BH58" i="1"/>
  <c r="DP30" i="1"/>
  <c r="AZ64" i="1"/>
  <c r="G16" i="1"/>
  <c r="BT16" i="1"/>
  <c r="AZ16" i="1" s="1"/>
  <c r="DL16" i="1"/>
  <c r="AZ19" i="1"/>
  <c r="DO19" i="1" s="1"/>
  <c r="Y130" i="1"/>
  <c r="Y142" i="1" s="1"/>
  <c r="BG20" i="1"/>
  <c r="BK58" i="1"/>
  <c r="CR26" i="1"/>
  <c r="DP26" i="1" s="1"/>
  <c r="AZ36" i="1"/>
  <c r="DO36" i="1" s="1"/>
  <c r="DE38" i="1"/>
  <c r="CK38" i="1"/>
  <c r="DG38" i="1" s="1"/>
  <c r="BP96" i="1"/>
  <c r="AD96" i="1"/>
  <c r="BP102" i="1"/>
  <c r="AZ102" i="1" s="1"/>
  <c r="AD102" i="1"/>
  <c r="CW4" i="1"/>
  <c r="J136" i="1"/>
  <c r="BC7" i="1"/>
  <c r="CU7" i="1"/>
  <c r="G7" i="1"/>
  <c r="BB134" i="1"/>
  <c r="BJ134" i="1"/>
  <c r="CW8" i="1"/>
  <c r="DE134" i="1"/>
  <c r="G9" i="1"/>
  <c r="DP12" i="1"/>
  <c r="DP14" i="1"/>
  <c r="DO16" i="1"/>
  <c r="CW19" i="1"/>
  <c r="CR19" i="1" s="1"/>
  <c r="BV19" i="1"/>
  <c r="AA20" i="1"/>
  <c r="AW130" i="1"/>
  <c r="CR21" i="1"/>
  <c r="CZ135" i="1"/>
  <c r="CZ58" i="1"/>
  <c r="DH135" i="1"/>
  <c r="AZ24" i="1"/>
  <c r="DO24" i="1" s="1"/>
  <c r="DG27" i="1"/>
  <c r="CR27" i="1" s="1"/>
  <c r="DP27" i="1" s="1"/>
  <c r="BO28" i="1"/>
  <c r="AD28" i="1"/>
  <c r="AC30" i="1"/>
  <c r="AY30" i="1" s="1"/>
  <c r="DO30" i="1"/>
  <c r="AD38" i="1"/>
  <c r="BV39" i="1"/>
  <c r="AZ43" i="1"/>
  <c r="DO43" i="1" s="1"/>
  <c r="CU54" i="1"/>
  <c r="CR54" i="1" s="1"/>
  <c r="DP54" i="1" s="1"/>
  <c r="BN137" i="1"/>
  <c r="AD64" i="1"/>
  <c r="DN67" i="1"/>
  <c r="AC67" i="1"/>
  <c r="AY67" i="1" s="1"/>
  <c r="CR68" i="1"/>
  <c r="DP68" i="1" s="1"/>
  <c r="BE71" i="1"/>
  <c r="AZ71" i="1" s="1"/>
  <c r="DO71" i="1" s="1"/>
  <c r="BE77" i="1"/>
  <c r="AD77" i="1"/>
  <c r="AD89" i="1"/>
  <c r="BE89" i="1"/>
  <c r="AZ89" i="1" s="1"/>
  <c r="BS91" i="1"/>
  <c r="AC7" i="1"/>
  <c r="AY7" i="1" s="1"/>
  <c r="J134" i="1"/>
  <c r="G8" i="1"/>
  <c r="BY134" i="1"/>
  <c r="BV134" i="1" s="1"/>
  <c r="BY20" i="1"/>
  <c r="BV8" i="1"/>
  <c r="AG135" i="1"/>
  <c r="AD135" i="1" s="1"/>
  <c r="AD21" i="1"/>
  <c r="BC21" i="1"/>
  <c r="CR82" i="1"/>
  <c r="DP82" i="1" s="1"/>
  <c r="CV140" i="1"/>
  <c r="CV108" i="1"/>
  <c r="CR93" i="1"/>
  <c r="BU16" i="1"/>
  <c r="CQ16" i="1" s="1"/>
  <c r="AC17" i="1"/>
  <c r="AY17" i="1" s="1"/>
  <c r="BP58" i="1"/>
  <c r="AC27" i="1"/>
  <c r="AY27" i="1" s="1"/>
  <c r="AZ30" i="1"/>
  <c r="DG33" i="1"/>
  <c r="BV33" i="1"/>
  <c r="DK39" i="1"/>
  <c r="DK58" i="1" s="1"/>
  <c r="DK130" i="1" s="1"/>
  <c r="L137" i="1"/>
  <c r="BE63" i="1"/>
  <c r="AZ63" i="1" s="1"/>
  <c r="DO63" i="1" s="1"/>
  <c r="L91" i="1"/>
  <c r="DH128" i="1"/>
  <c r="DH132" i="1"/>
  <c r="BA136" i="1"/>
  <c r="AZ4" i="1"/>
  <c r="CR55" i="1"/>
  <c r="DP55" i="1" s="1"/>
  <c r="BD91" i="1"/>
  <c r="AC62" i="1"/>
  <c r="AY62" i="1" s="1"/>
  <c r="CW63" i="1"/>
  <c r="BV4" i="1"/>
  <c r="BC8" i="1"/>
  <c r="BK134" i="1"/>
  <c r="CW9" i="1"/>
  <c r="CR9" i="1" s="1"/>
  <c r="BE9" i="1"/>
  <c r="AZ11" i="1"/>
  <c r="DO11" i="1" s="1"/>
  <c r="G17" i="1"/>
  <c r="DN17" i="1" s="1"/>
  <c r="BE17" i="1"/>
  <c r="CR17" i="1"/>
  <c r="DP17" i="1" s="1"/>
  <c r="J20" i="1"/>
  <c r="AX20" i="1"/>
  <c r="CD130" i="1"/>
  <c r="BN135" i="1"/>
  <c r="BN58" i="1"/>
  <c r="CS135" i="1"/>
  <c r="CS58" i="1"/>
  <c r="DA135" i="1"/>
  <c r="DA58" i="1"/>
  <c r="DJ135" i="1"/>
  <c r="BU24" i="1"/>
  <c r="CQ24" i="1" s="1"/>
  <c r="DG25" i="1"/>
  <c r="CR25" i="1" s="1"/>
  <c r="BV25" i="1"/>
  <c r="DO26" i="1"/>
  <c r="BU28" i="1"/>
  <c r="CQ28" i="1" s="1"/>
  <c r="DG29" i="1"/>
  <c r="CR29" i="1" s="1"/>
  <c r="BV29" i="1"/>
  <c r="AX135" i="1"/>
  <c r="BT30" i="1"/>
  <c r="AC34" i="1"/>
  <c r="AY34" i="1" s="1"/>
  <c r="AZ35" i="1"/>
  <c r="DO35" i="1" s="1"/>
  <c r="DP36" i="1"/>
  <c r="DO40" i="1"/>
  <c r="AC40" i="1"/>
  <c r="AY40" i="1" s="1"/>
  <c r="BC50" i="1"/>
  <c r="AZ52" i="1"/>
  <c r="DO52" i="1" s="1"/>
  <c r="DB58" i="1"/>
  <c r="AJ137" i="1"/>
  <c r="AJ91" i="1"/>
  <c r="AD59" i="1"/>
  <c r="CU137" i="1"/>
  <c r="CU91" i="1"/>
  <c r="DP67" i="1"/>
  <c r="CR77" i="1"/>
  <c r="AZ79" i="1"/>
  <c r="DO79" i="1" s="1"/>
  <c r="BU95" i="1"/>
  <c r="CQ95" i="1" s="1"/>
  <c r="BH136" i="1"/>
  <c r="BP135" i="1"/>
  <c r="CZ136" i="1"/>
  <c r="DH136" i="1"/>
  <c r="AA136" i="1"/>
  <c r="BT5" i="1"/>
  <c r="BD134" i="1"/>
  <c r="BL134" i="1"/>
  <c r="CV134" i="1"/>
  <c r="DD134" i="1"/>
  <c r="BC9" i="1"/>
  <c r="AZ9" i="1" s="1"/>
  <c r="DO9" i="1" s="1"/>
  <c r="I130" i="1"/>
  <c r="BH20" i="1"/>
  <c r="BH130" i="1" s="1"/>
  <c r="BP20" i="1"/>
  <c r="CP20" i="1"/>
  <c r="BA135" i="1"/>
  <c r="BI135" i="1"/>
  <c r="DC135" i="1"/>
  <c r="BO27" i="1"/>
  <c r="AZ27" i="1" s="1"/>
  <c r="DO27" i="1" s="1"/>
  <c r="AZ45" i="1"/>
  <c r="DG50" i="1"/>
  <c r="CR50" i="1" s="1"/>
  <c r="DP50" i="1" s="1"/>
  <c r="BV52" i="1"/>
  <c r="CU52" i="1"/>
  <c r="CR52" i="1" s="1"/>
  <c r="AQ58" i="1"/>
  <c r="BH137" i="1"/>
  <c r="BH91" i="1"/>
  <c r="BP136" i="1"/>
  <c r="BP91" i="1"/>
  <c r="CT137" i="1"/>
  <c r="DC137" i="1"/>
  <c r="DL59" i="1"/>
  <c r="CR64" i="1"/>
  <c r="AC65" i="1"/>
  <c r="AY65" i="1" s="1"/>
  <c r="AZ66" i="1"/>
  <c r="DP69" i="1"/>
  <c r="DO75" i="1"/>
  <c r="AC79" i="1"/>
  <c r="AY79" i="1" s="1"/>
  <c r="AC86" i="1"/>
  <c r="AY86" i="1" s="1"/>
  <c r="AC90" i="1"/>
  <c r="AY90" i="1" s="1"/>
  <c r="AT108" i="1"/>
  <c r="AT130" i="1" s="1"/>
  <c r="CP140" i="1"/>
  <c r="BV96" i="1"/>
  <c r="AZ97" i="1"/>
  <c r="DO97" i="1" s="1"/>
  <c r="AC101" i="1"/>
  <c r="AY101" i="1" s="1"/>
  <c r="DO101" i="1"/>
  <c r="DH102" i="1"/>
  <c r="CR102" i="1" s="1"/>
  <c r="BV102" i="1"/>
  <c r="G109" i="1"/>
  <c r="BU109" i="1" s="1"/>
  <c r="CQ109" i="1" s="1"/>
  <c r="CS128" i="1"/>
  <c r="CS132" i="1"/>
  <c r="AD127" i="1"/>
  <c r="BE127" i="1"/>
  <c r="BB136" i="1"/>
  <c r="BJ136" i="1"/>
  <c r="BS136" i="1"/>
  <c r="CT136" i="1"/>
  <c r="DB136" i="1"/>
  <c r="DK136" i="1"/>
  <c r="BV5" i="1"/>
  <c r="L136" i="1"/>
  <c r="BU7" i="1"/>
  <c r="CQ7" i="1" s="1"/>
  <c r="CW7" i="1"/>
  <c r="AI134" i="1"/>
  <c r="BF134" i="1"/>
  <c r="BN134" i="1"/>
  <c r="CX134" i="1"/>
  <c r="DF134" i="1"/>
  <c r="CX13" i="1"/>
  <c r="CX20" i="1" s="1"/>
  <c r="K130" i="1"/>
  <c r="S130" i="1"/>
  <c r="S142" i="1" s="1"/>
  <c r="BB20" i="1"/>
  <c r="BJ20" i="1"/>
  <c r="BS20" i="1"/>
  <c r="CZ20" i="1"/>
  <c r="DH20" i="1"/>
  <c r="BK135" i="1"/>
  <c r="CW135" i="1"/>
  <c r="BU40" i="1"/>
  <c r="CQ40" i="1" s="1"/>
  <c r="AD48" i="1"/>
  <c r="CR51" i="1"/>
  <c r="DP51" i="1" s="1"/>
  <c r="AC54" i="1"/>
  <c r="AY54" i="1" s="1"/>
  <c r="M135" i="1"/>
  <c r="CX56" i="1"/>
  <c r="CR56" i="1" s="1"/>
  <c r="DP56" i="1" s="1"/>
  <c r="DC58" i="1"/>
  <c r="G59" i="1"/>
  <c r="BA137" i="1"/>
  <c r="BJ137" i="1"/>
  <c r="BT59" i="1"/>
  <c r="BR137" i="1"/>
  <c r="AZ68" i="1"/>
  <c r="DO68" i="1" s="1"/>
  <c r="CR73" i="1"/>
  <c r="CW76" i="1"/>
  <c r="CR76" i="1" s="1"/>
  <c r="DP76" i="1" s="1"/>
  <c r="AZ77" i="1"/>
  <c r="CW78" i="1"/>
  <c r="CR78" i="1" s="1"/>
  <c r="BV78" i="1"/>
  <c r="BU83" i="1"/>
  <c r="CQ83" i="1" s="1"/>
  <c r="AC84" i="1"/>
  <c r="AY84" i="1" s="1"/>
  <c r="DO84" i="1"/>
  <c r="BU85" i="1"/>
  <c r="CQ85" i="1" s="1"/>
  <c r="G88" i="1"/>
  <c r="BT88" i="1"/>
  <c r="AZ88" i="1" s="1"/>
  <c r="DL88" i="1"/>
  <c r="BU89" i="1"/>
  <c r="CQ89" i="1" s="1"/>
  <c r="CS140" i="1"/>
  <c r="CS108" i="1"/>
  <c r="DA140" i="1"/>
  <c r="DA108" i="1"/>
  <c r="DJ140" i="1"/>
  <c r="DJ108" i="1"/>
  <c r="DB108" i="1"/>
  <c r="BU104" i="1"/>
  <c r="CQ104" i="1" s="1"/>
  <c r="CR106" i="1"/>
  <c r="DP106" i="1" s="1"/>
  <c r="BA132" i="1"/>
  <c r="BM128" i="1"/>
  <c r="AD112" i="1"/>
  <c r="BK112" i="1"/>
  <c r="BK133" i="1" s="1"/>
  <c r="DO120" i="1"/>
  <c r="CW126" i="1"/>
  <c r="CR126" i="1" s="1"/>
  <c r="BV126" i="1"/>
  <c r="CZ140" i="1"/>
  <c r="CZ108" i="1"/>
  <c r="DH97" i="1"/>
  <c r="CR97" i="1" s="1"/>
  <c r="BV97" i="1"/>
  <c r="AG140" i="1"/>
  <c r="AG108" i="1"/>
  <c r="BC104" i="1"/>
  <c r="BC136" i="1"/>
  <c r="BK136" i="1"/>
  <c r="DC136" i="1"/>
  <c r="DL136" i="1"/>
  <c r="AI136" i="1"/>
  <c r="BE5" i="1"/>
  <c r="AZ5" i="1" s="1"/>
  <c r="BG134" i="1"/>
  <c r="BO134" i="1"/>
  <c r="CY134" i="1"/>
  <c r="DG134" i="1"/>
  <c r="AX134" i="1"/>
  <c r="L20" i="1"/>
  <c r="T130" i="1"/>
  <c r="AM130" i="1"/>
  <c r="BK20" i="1"/>
  <c r="CB20" i="1"/>
  <c r="DI130" i="1"/>
  <c r="BD135" i="1"/>
  <c r="BY135" i="1"/>
  <c r="BY58" i="1"/>
  <c r="CX135" i="1"/>
  <c r="DF135" i="1"/>
  <c r="DF58" i="1"/>
  <c r="AS135" i="1"/>
  <c r="AS139" i="1" s="1"/>
  <c r="AS141" i="1" s="1"/>
  <c r="V135" i="1"/>
  <c r="DG26" i="1"/>
  <c r="AA135" i="1"/>
  <c r="CP135" i="1"/>
  <c r="CP58" i="1"/>
  <c r="BR135" i="1"/>
  <c r="BR58" i="1"/>
  <c r="AD37" i="1"/>
  <c r="BM37" i="1"/>
  <c r="AZ37" i="1" s="1"/>
  <c r="CI135" i="1"/>
  <c r="BL41" i="1"/>
  <c r="BL58" i="1" s="1"/>
  <c r="DG43" i="1"/>
  <c r="CR43" i="1" s="1"/>
  <c r="DP43" i="1" s="1"/>
  <c r="BV45" i="1"/>
  <c r="AD47" i="1"/>
  <c r="AZ53" i="1"/>
  <c r="DO53" i="1" s="1"/>
  <c r="AD55" i="1"/>
  <c r="BF56" i="1"/>
  <c r="BF58" i="1" s="1"/>
  <c r="AA58" i="1"/>
  <c r="BD58" i="1"/>
  <c r="CI58" i="1"/>
  <c r="DE58" i="1"/>
  <c r="M137" i="1"/>
  <c r="CX59" i="1"/>
  <c r="BF59" i="1"/>
  <c r="M91" i="1"/>
  <c r="BB137" i="1"/>
  <c r="BK137" i="1"/>
  <c r="AD60" i="1"/>
  <c r="BN91" i="1"/>
  <c r="BU63" i="1"/>
  <c r="CQ63" i="1" s="1"/>
  <c r="BT65" i="1"/>
  <c r="AZ65" i="1" s="1"/>
  <c r="DO65" i="1" s="1"/>
  <c r="BU68" i="1"/>
  <c r="CQ68" i="1" s="1"/>
  <c r="AZ70" i="1"/>
  <c r="CR74" i="1"/>
  <c r="DP74" i="1" s="1"/>
  <c r="G76" i="1"/>
  <c r="AC80" i="1"/>
  <c r="AY80" i="1" s="1"/>
  <c r="DO82" i="1"/>
  <c r="AZ86" i="1"/>
  <c r="DO86" i="1" s="1"/>
  <c r="DC91" i="1"/>
  <c r="AZ98" i="1"/>
  <c r="DO98" i="1" s="1"/>
  <c r="AZ105" i="1"/>
  <c r="DO105" i="1" s="1"/>
  <c r="CV133" i="1"/>
  <c r="BD136" i="1"/>
  <c r="BL136" i="1"/>
  <c r="CV136" i="1"/>
  <c r="DD136" i="1"/>
  <c r="DN4" i="1"/>
  <c r="AX136" i="1"/>
  <c r="BH134" i="1"/>
  <c r="BQ134" i="1"/>
  <c r="BQ139" i="1" s="1"/>
  <c r="BQ141" i="1" s="1"/>
  <c r="BP134" i="1"/>
  <c r="CZ134" i="1"/>
  <c r="DH134" i="1"/>
  <c r="M130" i="1"/>
  <c r="U130" i="1"/>
  <c r="AN130" i="1"/>
  <c r="BD20" i="1"/>
  <c r="BL20" i="1"/>
  <c r="CC130" i="1"/>
  <c r="CC142" i="1" s="1"/>
  <c r="CT20" i="1"/>
  <c r="DB20" i="1"/>
  <c r="BE135" i="1"/>
  <c r="BM135" i="1"/>
  <c r="CY135" i="1"/>
  <c r="AD49" i="1"/>
  <c r="BC49" i="1"/>
  <c r="AZ49" i="1" s="1"/>
  <c r="BO56" i="1"/>
  <c r="AD56" i="1"/>
  <c r="BE58" i="1"/>
  <c r="BC137" i="1"/>
  <c r="CB137" i="1"/>
  <c r="CB139" i="1" s="1"/>
  <c r="CB141" i="1" s="1"/>
  <c r="BV59" i="1"/>
  <c r="CB91" i="1"/>
  <c r="CY137" i="1"/>
  <c r="DG137" i="1"/>
  <c r="DG91" i="1"/>
  <c r="DP65" i="1"/>
  <c r="AZ67" i="1"/>
  <c r="DO67" i="1" s="1"/>
  <c r="AZ74" i="1"/>
  <c r="DO74" i="1" s="1"/>
  <c r="DP77" i="1"/>
  <c r="CW86" i="1"/>
  <c r="CR86" i="1" s="1"/>
  <c r="BV86" i="1"/>
  <c r="BT90" i="1"/>
  <c r="AZ90" i="1" s="1"/>
  <c r="DO90" i="1" s="1"/>
  <c r="BG140" i="1"/>
  <c r="BG108" i="1"/>
  <c r="DF108" i="1"/>
  <c r="CR103" i="1"/>
  <c r="CR127" i="1"/>
  <c r="DP127" i="1" s="1"/>
  <c r="AW139" i="1"/>
  <c r="AW141" i="1" s="1"/>
  <c r="AO133" i="1"/>
  <c r="AO139" i="1" s="1"/>
  <c r="AO141" i="1" s="1"/>
  <c r="AX91" i="1"/>
  <c r="BG137" i="1"/>
  <c r="BG91" i="1"/>
  <c r="BO137" i="1"/>
  <c r="BO91" i="1"/>
  <c r="DA137" i="1"/>
  <c r="DA91" i="1"/>
  <c r="DJ137" i="1"/>
  <c r="AZ60" i="1"/>
  <c r="DL68" i="1"/>
  <c r="AZ69" i="1"/>
  <c r="DO69" i="1" s="1"/>
  <c r="CR72" i="1"/>
  <c r="DO73" i="1"/>
  <c r="AC73" i="1"/>
  <c r="AY73" i="1" s="1"/>
  <c r="BU88" i="1"/>
  <c r="CQ88" i="1" s="1"/>
  <c r="BH140" i="1"/>
  <c r="BH108" i="1"/>
  <c r="CU140" i="1"/>
  <c r="DC140" i="1"/>
  <c r="DO94" i="1"/>
  <c r="CR100" i="1"/>
  <c r="BP103" i="1"/>
  <c r="AD103" i="1"/>
  <c r="K132" i="1"/>
  <c r="K139" i="1" s="1"/>
  <c r="K141" i="1" s="1"/>
  <c r="K128" i="1"/>
  <c r="BD109" i="1"/>
  <c r="DA128" i="1"/>
  <c r="DA132" i="1"/>
  <c r="DJ132" i="1"/>
  <c r="DO119" i="1"/>
  <c r="CN138" i="1"/>
  <c r="CN139" i="1" s="1"/>
  <c r="CN141" i="1" s="1"/>
  <c r="DJ121" i="1"/>
  <c r="CN128" i="1"/>
  <c r="CN130" i="1" s="1"/>
  <c r="BJ108" i="1"/>
  <c r="CR95" i="1"/>
  <c r="DP95" i="1" s="1"/>
  <c r="BP100" i="1"/>
  <c r="AD100" i="1"/>
  <c r="AZ103" i="1"/>
  <c r="BB132" i="1"/>
  <c r="BN132" i="1"/>
  <c r="DN112" i="1"/>
  <c r="BU112" i="1"/>
  <c r="CQ112" i="1" s="1"/>
  <c r="AZ119" i="1"/>
  <c r="DN121" i="1"/>
  <c r="G138" i="1"/>
  <c r="DN138" i="1" s="1"/>
  <c r="DO78" i="1"/>
  <c r="AC78" i="1"/>
  <c r="AY78" i="1" s="1"/>
  <c r="CR80" i="1"/>
  <c r="DP80" i="1" s="1"/>
  <c r="CR83" i="1"/>
  <c r="DP83" i="1" s="1"/>
  <c r="AZ84" i="1"/>
  <c r="BK140" i="1"/>
  <c r="BK108" i="1"/>
  <c r="BD108" i="1"/>
  <c r="AC95" i="1"/>
  <c r="AY95" i="1" s="1"/>
  <c r="BR140" i="1"/>
  <c r="BR108" i="1"/>
  <c r="G102" i="1"/>
  <c r="DN102" i="1" s="1"/>
  <c r="AA108" i="1"/>
  <c r="CK140" i="1"/>
  <c r="CK108" i="1"/>
  <c r="BO128" i="1"/>
  <c r="DD128" i="1"/>
  <c r="DD132" i="1"/>
  <c r="BZ128" i="1"/>
  <c r="BZ130" i="1" s="1"/>
  <c r="BZ132" i="1"/>
  <c r="BZ139" i="1" s="1"/>
  <c r="BZ141" i="1" s="1"/>
  <c r="BD111" i="1"/>
  <c r="AD111" i="1"/>
  <c r="AH128" i="1"/>
  <c r="AH130" i="1" s="1"/>
  <c r="CR114" i="1"/>
  <c r="DP114" i="1" s="1"/>
  <c r="W139" i="1"/>
  <c r="W141" i="1" s="1"/>
  <c r="W142" i="1" s="1"/>
  <c r="BU82" i="1"/>
  <c r="CQ82" i="1" s="1"/>
  <c r="CR85" i="1"/>
  <c r="DP85" i="1" s="1"/>
  <c r="DO88" i="1"/>
  <c r="CR99" i="1"/>
  <c r="DP99" i="1" s="1"/>
  <c r="AF140" i="1"/>
  <c r="BB104" i="1"/>
  <c r="AD104" i="1"/>
  <c r="AF108" i="1"/>
  <c r="AF130" i="1" s="1"/>
  <c r="R132" i="1"/>
  <c r="R139" i="1" s="1"/>
  <c r="R141" i="1" s="1"/>
  <c r="R128" i="1"/>
  <c r="R130" i="1" s="1"/>
  <c r="BK109" i="1"/>
  <c r="BF128" i="1"/>
  <c r="BF132" i="1"/>
  <c r="CG132" i="1"/>
  <c r="CG128" i="1"/>
  <c r="CG130" i="1" s="1"/>
  <c r="DC110" i="1"/>
  <c r="CX128" i="1"/>
  <c r="BT133" i="1"/>
  <c r="AZ117" i="1"/>
  <c r="DO117" i="1" s="1"/>
  <c r="DL118" i="1"/>
  <c r="CR118" i="1" s="1"/>
  <c r="DP118" i="1" s="1"/>
  <c r="BT118" i="1"/>
  <c r="AZ118" i="1" s="1"/>
  <c r="G118" i="1"/>
  <c r="DN118" i="1" s="1"/>
  <c r="BE122" i="1"/>
  <c r="AZ122" i="1" s="1"/>
  <c r="AD122" i="1"/>
  <c r="AI128" i="1"/>
  <c r="I139" i="1"/>
  <c r="I141" i="1" s="1"/>
  <c r="BJ140" i="1"/>
  <c r="BA140" i="1"/>
  <c r="BI108" i="1"/>
  <c r="DB140" i="1"/>
  <c r="DK140" i="1"/>
  <c r="AX140" i="1"/>
  <c r="AZ100" i="1"/>
  <c r="BE104" i="1"/>
  <c r="BE108" i="1" s="1"/>
  <c r="BX140" i="1"/>
  <c r="CT104" i="1"/>
  <c r="CR104" i="1" s="1"/>
  <c r="DP104" i="1" s="1"/>
  <c r="BX108" i="1"/>
  <c r="BX130" i="1" s="1"/>
  <c r="AG128" i="1"/>
  <c r="AD109" i="1"/>
  <c r="BG132" i="1"/>
  <c r="BG128" i="1"/>
  <c r="BP137" i="1"/>
  <c r="BP132" i="1"/>
  <c r="CT128" i="1"/>
  <c r="DC111" i="1"/>
  <c r="BK111" i="1"/>
  <c r="BG133" i="1"/>
  <c r="DN114" i="1"/>
  <c r="AC114" i="1"/>
  <c r="AY114" i="1" s="1"/>
  <c r="BU116" i="1"/>
  <c r="CQ116" i="1" s="1"/>
  <c r="U138" i="1"/>
  <c r="U139" i="1" s="1"/>
  <c r="U141" i="1" s="1"/>
  <c r="DF121" i="1"/>
  <c r="BU127" i="1"/>
  <c r="CQ127" i="1" s="1"/>
  <c r="BD137" i="1"/>
  <c r="CV137" i="1"/>
  <c r="DD137" i="1"/>
  <c r="BU65" i="1"/>
  <c r="CQ65" i="1" s="1"/>
  <c r="G68" i="1"/>
  <c r="DN68" i="1" s="1"/>
  <c r="BT68" i="1"/>
  <c r="AD70" i="1"/>
  <c r="BV70" i="1"/>
  <c r="AC75" i="1"/>
  <c r="AY75" i="1" s="1"/>
  <c r="BU75" i="1"/>
  <c r="CQ75" i="1" s="1"/>
  <c r="AC81" i="1"/>
  <c r="AY81" i="1" s="1"/>
  <c r="BV81" i="1"/>
  <c r="BU84" i="1"/>
  <c r="CQ84" i="1" s="1"/>
  <c r="AC87" i="1"/>
  <c r="AY87" i="1" s="1"/>
  <c r="BV87" i="1"/>
  <c r="CV91" i="1"/>
  <c r="AC93" i="1"/>
  <c r="AY93" i="1" s="1"/>
  <c r="BD140" i="1"/>
  <c r="BL140" i="1"/>
  <c r="CW140" i="1"/>
  <c r="CW108" i="1"/>
  <c r="DE140" i="1"/>
  <c r="DE108" i="1"/>
  <c r="BV100" i="1"/>
  <c r="BV103" i="1"/>
  <c r="G107" i="1"/>
  <c r="AO128" i="1"/>
  <c r="AO130" i="1" s="1"/>
  <c r="BB133" i="1"/>
  <c r="BJ133" i="1"/>
  <c r="DD133" i="1"/>
  <c r="AZ115" i="1"/>
  <c r="AC116" i="1"/>
  <c r="AY116" i="1" s="1"/>
  <c r="AC118" i="1"/>
  <c r="AY118" i="1" s="1"/>
  <c r="DO118" i="1"/>
  <c r="BN121" i="1"/>
  <c r="BN128" i="1" s="1"/>
  <c r="AZ124" i="1"/>
  <c r="DO124" i="1" s="1"/>
  <c r="AC125" i="1"/>
  <c r="AY125" i="1" s="1"/>
  <c r="AC126" i="1"/>
  <c r="AY126" i="1" s="1"/>
  <c r="CD139" i="1"/>
  <c r="CD141" i="1" s="1"/>
  <c r="DE137" i="1"/>
  <c r="AI137" i="1"/>
  <c r="AI91" i="1"/>
  <c r="DE91" i="1"/>
  <c r="BE140" i="1"/>
  <c r="BM140" i="1"/>
  <c r="CL140" i="1"/>
  <c r="CX140" i="1"/>
  <c r="DF140" i="1"/>
  <c r="AA140" i="1"/>
  <c r="BT96" i="1"/>
  <c r="BT108" i="1" s="1"/>
  <c r="DL96" i="1"/>
  <c r="AC98" i="1"/>
  <c r="AY98" i="1" s="1"/>
  <c r="J140" i="1"/>
  <c r="J108" i="1"/>
  <c r="AX108" i="1"/>
  <c r="CL108" i="1"/>
  <c r="CL130" i="1" s="1"/>
  <c r="CX108" i="1"/>
  <c r="O132" i="1"/>
  <c r="O139" i="1" s="1"/>
  <c r="O141" i="1" s="1"/>
  <c r="O128" i="1"/>
  <c r="O130" i="1" s="1"/>
  <c r="BB128" i="1"/>
  <c r="Q132" i="1"/>
  <c r="Q139" i="1" s="1"/>
  <c r="Q141" i="1" s="1"/>
  <c r="Q142" i="1" s="1"/>
  <c r="DB110" i="1"/>
  <c r="AX132" i="1"/>
  <c r="AX128" i="1"/>
  <c r="BT110" i="1"/>
  <c r="BT132" i="1" s="1"/>
  <c r="CV111" i="1"/>
  <c r="CV132" i="1" s="1"/>
  <c r="BV111" i="1"/>
  <c r="AA133" i="1"/>
  <c r="DJ133" i="1"/>
  <c r="AX137" i="1"/>
  <c r="CP137" i="1"/>
  <c r="DF137" i="1"/>
  <c r="CP91" i="1"/>
  <c r="DF91" i="1"/>
  <c r="AT140" i="1"/>
  <c r="BF140" i="1"/>
  <c r="BF108" i="1"/>
  <c r="BN140" i="1"/>
  <c r="BN108" i="1"/>
  <c r="CY140" i="1"/>
  <c r="DH98" i="1"/>
  <c r="CR98" i="1" s="1"/>
  <c r="DP98" i="1" s="1"/>
  <c r="V140" i="1"/>
  <c r="DG107" i="1"/>
  <c r="BC107" i="1"/>
  <c r="AI108" i="1"/>
  <c r="CY108" i="1"/>
  <c r="DK108" i="1"/>
  <c r="BI128" i="1"/>
  <c r="BI132" i="1"/>
  <c r="BC109" i="1"/>
  <c r="CY109" i="1"/>
  <c r="DG132" i="1"/>
  <c r="BK110" i="1"/>
  <c r="BJ110" i="1"/>
  <c r="BJ128" i="1" s="1"/>
  <c r="BV110" i="1"/>
  <c r="CU110" i="1"/>
  <c r="J133" i="1"/>
  <c r="G119" i="1"/>
  <c r="CU119" i="1"/>
  <c r="AZ125" i="1"/>
  <c r="DO125" i="1" s="1"/>
  <c r="U128" i="1"/>
  <c r="BP128" i="1"/>
  <c r="N132" i="1"/>
  <c r="N139" i="1" s="1"/>
  <c r="N141" i="1" s="1"/>
  <c r="CW132" i="1"/>
  <c r="DE132" i="1"/>
  <c r="BD133" i="1"/>
  <c r="BL133" i="1"/>
  <c r="CW133" i="1"/>
  <c r="DL115" i="1"/>
  <c r="G115" i="1"/>
  <c r="DN115" i="1" s="1"/>
  <c r="DP122" i="1"/>
  <c r="CR123" i="1"/>
  <c r="DP123" i="1" s="1"/>
  <c r="CA128" i="1"/>
  <c r="CW125" i="1"/>
  <c r="CR125" i="1" s="1"/>
  <c r="BV125" i="1"/>
  <c r="AZ126" i="1"/>
  <c r="DO126" i="1" s="1"/>
  <c r="P132" i="1"/>
  <c r="P139" i="1" s="1"/>
  <c r="P141" i="1" s="1"/>
  <c r="J132" i="1"/>
  <c r="J128" i="1"/>
  <c r="BE132" i="1"/>
  <c r="BM132" i="1"/>
  <c r="BY132" i="1"/>
  <c r="BY128" i="1"/>
  <c r="CX132" i="1"/>
  <c r="DF132" i="1"/>
  <c r="BD110" i="1"/>
  <c r="BE133" i="1"/>
  <c r="CX133" i="1"/>
  <c r="DF133" i="1"/>
  <c r="CR116" i="1"/>
  <c r="DP116" i="1" s="1"/>
  <c r="DI139" i="1"/>
  <c r="DI141" i="1" s="1"/>
  <c r="BF133" i="1"/>
  <c r="BN133" i="1"/>
  <c r="CP133" i="1"/>
  <c r="CY133" i="1"/>
  <c r="DG133" i="1"/>
  <c r="AC113" i="1"/>
  <c r="AY113" i="1" s="1"/>
  <c r="AD115" i="1"/>
  <c r="CG133" i="1"/>
  <c r="DC115" i="1"/>
  <c r="DC133" i="1" s="1"/>
  <c r="BT127" i="1"/>
  <c r="AZ127" i="1" s="1"/>
  <c r="BS128" i="1"/>
  <c r="BS132" i="1"/>
  <c r="DB128" i="1"/>
  <c r="DB132" i="1"/>
  <c r="DB139" i="1" s="1"/>
  <c r="DB141" i="1" s="1"/>
  <c r="DK128" i="1"/>
  <c r="DK132" i="1"/>
  <c r="CP132" i="1"/>
  <c r="CP128" i="1"/>
  <c r="CT133" i="1"/>
  <c r="DP117" i="1"/>
  <c r="DG119" i="1"/>
  <c r="DG128" i="1" s="1"/>
  <c r="CR124" i="1"/>
  <c r="DP124" i="1" s="1"/>
  <c r="V139" i="1"/>
  <c r="DE133" i="1"/>
  <c r="BH133" i="1"/>
  <c r="BP133" i="1"/>
  <c r="CZ133" i="1"/>
  <c r="DH133" i="1"/>
  <c r="BV115" i="1"/>
  <c r="AD123" i="1"/>
  <c r="AR128" i="1"/>
  <c r="S139" i="1"/>
  <c r="S141" i="1" s="1"/>
  <c r="AL139" i="1"/>
  <c r="AL141" i="1" s="1"/>
  <c r="AL142" i="1" s="1"/>
  <c r="AT139" i="1"/>
  <c r="CE139" i="1"/>
  <c r="CE141" i="1" s="1"/>
  <c r="CE142" i="1" s="1"/>
  <c r="CS133" i="1"/>
  <c r="DA133" i="1"/>
  <c r="AD121" i="1"/>
  <c r="BV121" i="1"/>
  <c r="T139" i="1"/>
  <c r="T141" i="1" s="1"/>
  <c r="AM139" i="1"/>
  <c r="AM141" i="1" s="1"/>
  <c r="AU139" i="1"/>
  <c r="AU141" i="1" s="1"/>
  <c r="BW139" i="1"/>
  <c r="BW141" i="1" s="1"/>
  <c r="CF139" i="1"/>
  <c r="CF141" i="1" s="1"/>
  <c r="CF142" i="1" s="1"/>
  <c r="AF139" i="1"/>
  <c r="AV139" i="1"/>
  <c r="AV141" i="1" s="1"/>
  <c r="BT136" i="1" l="1"/>
  <c r="CI130" i="1"/>
  <c r="CR50" i="2"/>
  <c r="AD136" i="1"/>
  <c r="CI139" i="1"/>
  <c r="CI141" i="1" s="1"/>
  <c r="BF136" i="1"/>
  <c r="CR120" i="1"/>
  <c r="DP120" i="1" s="1"/>
  <c r="DP73" i="1"/>
  <c r="BL91" i="1"/>
  <c r="DP105" i="1"/>
  <c r="AZ15" i="1"/>
  <c r="DO15" i="1" s="1"/>
  <c r="BE134" i="1"/>
  <c r="AZ134" i="1" s="1"/>
  <c r="AD132" i="1"/>
  <c r="BM20" i="1"/>
  <c r="AP130" i="1"/>
  <c r="BT140" i="1"/>
  <c r="BC133" i="1"/>
  <c r="BS135" i="1"/>
  <c r="BT58" i="1"/>
  <c r="BS58" i="1"/>
  <c r="DO83" i="1"/>
  <c r="DO5" i="1"/>
  <c r="AD108" i="1"/>
  <c r="CR111" i="1"/>
  <c r="DP111" i="1" s="1"/>
  <c r="CV128" i="1"/>
  <c r="BE128" i="1"/>
  <c r="BO108" i="1"/>
  <c r="DE136" i="1"/>
  <c r="CH130" i="1"/>
  <c r="AZ115" i="2"/>
  <c r="BC20" i="1"/>
  <c r="DO45" i="1"/>
  <c r="BC134" i="1"/>
  <c r="DK135" i="1"/>
  <c r="BT134" i="1"/>
  <c r="DP47" i="1"/>
  <c r="BS58" i="2"/>
  <c r="BS130" i="2" s="1"/>
  <c r="CR102" i="2"/>
  <c r="BU82" i="2"/>
  <c r="CQ82" i="2" s="1"/>
  <c r="DL134" i="2"/>
  <c r="CR107" i="2"/>
  <c r="CR9" i="2"/>
  <c r="CL141" i="2"/>
  <c r="CX136" i="1"/>
  <c r="AZ111" i="2"/>
  <c r="CJ130" i="2"/>
  <c r="AZ111" i="1"/>
  <c r="DO111" i="1" s="1"/>
  <c r="DH140" i="1"/>
  <c r="DP44" i="1"/>
  <c r="DL133" i="1"/>
  <c r="CK58" i="1"/>
  <c r="CK130" i="1" s="1"/>
  <c r="AZ13" i="1"/>
  <c r="DO13" i="1" s="1"/>
  <c r="DP34" i="1"/>
  <c r="AJ130" i="1"/>
  <c r="CR38" i="1"/>
  <c r="DP72" i="1"/>
  <c r="AZ50" i="1"/>
  <c r="DO50" i="1" s="1"/>
  <c r="DO22" i="1"/>
  <c r="DG108" i="2"/>
  <c r="CR13" i="1"/>
  <c r="DP13" i="1" s="1"/>
  <c r="DE135" i="1"/>
  <c r="DE139" i="1" s="1"/>
  <c r="DE141" i="1" s="1"/>
  <c r="DG140" i="2"/>
  <c r="AZ112" i="1"/>
  <c r="DO112" i="1" s="1"/>
  <c r="CL141" i="1"/>
  <c r="CL142" i="1" s="1"/>
  <c r="AD133" i="1"/>
  <c r="AQ130" i="1"/>
  <c r="AQ142" i="1" s="1"/>
  <c r="BV38" i="1"/>
  <c r="DP15" i="1"/>
  <c r="DL136" i="2"/>
  <c r="DO25" i="1"/>
  <c r="CW128" i="1"/>
  <c r="BL130" i="1"/>
  <c r="BR139" i="1"/>
  <c r="BR141" i="1" s="1"/>
  <c r="BN20" i="1"/>
  <c r="BN130" i="1" s="1"/>
  <c r="BU15" i="1"/>
  <c r="CQ15" i="1" s="1"/>
  <c r="AG139" i="1"/>
  <c r="AG141" i="1" s="1"/>
  <c r="BV137" i="1"/>
  <c r="BV136" i="1"/>
  <c r="AS130" i="2"/>
  <c r="BM136" i="2"/>
  <c r="AZ15" i="2"/>
  <c r="BR130" i="1"/>
  <c r="BR142" i="1" s="1"/>
  <c r="AZ110" i="1"/>
  <c r="DO110" i="1" s="1"/>
  <c r="AZ7" i="1"/>
  <c r="DO7" i="1" s="1"/>
  <c r="BE137" i="1"/>
  <c r="DL135" i="1"/>
  <c r="AD138" i="2"/>
  <c r="CR115" i="1"/>
  <c r="DP115" i="1" s="1"/>
  <c r="AG130" i="1"/>
  <c r="AJ139" i="1"/>
  <c r="AJ141" i="1" s="1"/>
  <c r="CO142" i="1"/>
  <c r="BV133" i="1"/>
  <c r="BU133" i="1" s="1"/>
  <c r="CQ133" i="1" s="1"/>
  <c r="CJ130" i="1"/>
  <c r="CJ142" i="1" s="1"/>
  <c r="BR128" i="1"/>
  <c r="CT140" i="1"/>
  <c r="CR5" i="2"/>
  <c r="BU42" i="2"/>
  <c r="CQ42" i="2" s="1"/>
  <c r="AP130" i="2"/>
  <c r="DJ128" i="2"/>
  <c r="DJ130" i="2" s="1"/>
  <c r="CR13" i="2"/>
  <c r="CW20" i="2"/>
  <c r="AT141" i="2"/>
  <c r="CA139" i="2"/>
  <c r="CA141" i="2" s="1"/>
  <c r="BX141" i="2"/>
  <c r="CR64" i="2"/>
  <c r="BU107" i="2"/>
  <c r="CQ107" i="2" s="1"/>
  <c r="AZ104" i="2"/>
  <c r="CX20" i="2"/>
  <c r="DE91" i="2"/>
  <c r="AZ103" i="2"/>
  <c r="BB108" i="2"/>
  <c r="BB130" i="2" s="1"/>
  <c r="CR15" i="2"/>
  <c r="BM91" i="2"/>
  <c r="BU13" i="2"/>
  <c r="CQ13" i="2" s="1"/>
  <c r="AI139" i="2"/>
  <c r="AI141" i="2" s="1"/>
  <c r="CT140" i="2"/>
  <c r="CW128" i="2"/>
  <c r="AZ38" i="2"/>
  <c r="AZ41" i="2"/>
  <c r="DE135" i="2"/>
  <c r="L139" i="2"/>
  <c r="L141" i="2" s="1"/>
  <c r="BT108" i="2"/>
  <c r="BT134" i="2"/>
  <c r="AC102" i="2"/>
  <c r="AY102" i="2" s="1"/>
  <c r="CV128" i="2"/>
  <c r="CV130" i="2" s="1"/>
  <c r="BL137" i="2"/>
  <c r="AZ39" i="2"/>
  <c r="AZ96" i="2"/>
  <c r="DE20" i="2"/>
  <c r="AD135" i="2"/>
  <c r="BE128" i="2"/>
  <c r="BV133" i="2"/>
  <c r="V139" i="2"/>
  <c r="V141" i="2" s="1"/>
  <c r="AZ107" i="2"/>
  <c r="AS141" i="2"/>
  <c r="BV137" i="2"/>
  <c r="AZ13" i="2"/>
  <c r="BT140" i="2"/>
  <c r="AD128" i="2"/>
  <c r="AZ9" i="2"/>
  <c r="DL20" i="2"/>
  <c r="CH130" i="2"/>
  <c r="DL135" i="2"/>
  <c r="AZ123" i="2"/>
  <c r="M130" i="2"/>
  <c r="BT20" i="2"/>
  <c r="AD134" i="2"/>
  <c r="BO133" i="2"/>
  <c r="DG128" i="2"/>
  <c r="DE58" i="2"/>
  <c r="BM137" i="2"/>
  <c r="M139" i="2"/>
  <c r="M141" i="2" s="1"/>
  <c r="AD20" i="2"/>
  <c r="BC108" i="2"/>
  <c r="AZ119" i="2"/>
  <c r="CR119" i="2"/>
  <c r="DB139" i="2"/>
  <c r="DB141" i="2" s="1"/>
  <c r="BU65" i="2"/>
  <c r="CQ65" i="2" s="1"/>
  <c r="BV136" i="2"/>
  <c r="BE108" i="2"/>
  <c r="BV134" i="2"/>
  <c r="AZ5" i="2"/>
  <c r="BU71" i="2"/>
  <c r="CQ71" i="2" s="1"/>
  <c r="AC71" i="2"/>
  <c r="AY71" i="2" s="1"/>
  <c r="BJ132" i="2"/>
  <c r="BJ139" i="2" s="1"/>
  <c r="BJ141" i="2" s="1"/>
  <c r="BV91" i="2"/>
  <c r="BE136" i="2"/>
  <c r="CY130" i="2"/>
  <c r="BE20" i="2"/>
  <c r="BU9" i="2"/>
  <c r="CQ9" i="2" s="1"/>
  <c r="CR54" i="2"/>
  <c r="BU39" i="2"/>
  <c r="CQ39" i="2" s="1"/>
  <c r="AC26" i="2"/>
  <c r="AY26" i="2" s="1"/>
  <c r="BU26" i="2"/>
  <c r="CQ26" i="2" s="1"/>
  <c r="CA130" i="2"/>
  <c r="BT128" i="2"/>
  <c r="BI130" i="2"/>
  <c r="BD128" i="2"/>
  <c r="BD130" i="2" s="1"/>
  <c r="CR41" i="2"/>
  <c r="BM135" i="2"/>
  <c r="CT139" i="2"/>
  <c r="AP139" i="2"/>
  <c r="AP141" i="2" s="1"/>
  <c r="CR115" i="2"/>
  <c r="BP139" i="2"/>
  <c r="BT132" i="2"/>
  <c r="AD136" i="2"/>
  <c r="AZ7" i="2"/>
  <c r="CU20" i="2"/>
  <c r="CI139" i="2"/>
  <c r="CI141" i="2" s="1"/>
  <c r="BM58" i="2"/>
  <c r="AC39" i="2"/>
  <c r="AY39" i="2" s="1"/>
  <c r="AV139" i="2"/>
  <c r="AV141" i="2" s="1"/>
  <c r="BS135" i="2"/>
  <c r="BS139" i="2" s="1"/>
  <c r="BS141" i="2" s="1"/>
  <c r="DE137" i="2"/>
  <c r="CI130" i="2"/>
  <c r="CR30" i="2"/>
  <c r="BT136" i="2"/>
  <c r="CR62" i="2"/>
  <c r="DD58" i="2"/>
  <c r="DD130" i="2" s="1"/>
  <c r="AC9" i="2"/>
  <c r="AY9" i="2" s="1"/>
  <c r="G108" i="2"/>
  <c r="BF136" i="2"/>
  <c r="AC50" i="2"/>
  <c r="AY50" i="2" s="1"/>
  <c r="AJ130" i="2"/>
  <c r="V130" i="2"/>
  <c r="CW136" i="2"/>
  <c r="AC101" i="2"/>
  <c r="AY101" i="2" s="1"/>
  <c r="CZ130" i="2"/>
  <c r="DL133" i="2"/>
  <c r="BC140" i="2"/>
  <c r="BT135" i="2"/>
  <c r="BN130" i="2"/>
  <c r="CR122" i="2"/>
  <c r="G140" i="2"/>
  <c r="CW91" i="2"/>
  <c r="DE128" i="2"/>
  <c r="J139" i="2"/>
  <c r="J141" i="2" s="1"/>
  <c r="CU135" i="2"/>
  <c r="CU58" i="2"/>
  <c r="CR21" i="2"/>
  <c r="BU119" i="2"/>
  <c r="CQ119" i="2" s="1"/>
  <c r="G133" i="2"/>
  <c r="BU112" i="2"/>
  <c r="CQ112" i="2" s="1"/>
  <c r="DL140" i="2"/>
  <c r="CR101" i="2"/>
  <c r="DL108" i="2"/>
  <c r="AC34" i="2"/>
  <c r="AY34" i="2" s="1"/>
  <c r="BF137" i="2"/>
  <c r="BF91" i="2"/>
  <c r="BF130" i="2" s="1"/>
  <c r="AZ59" i="2"/>
  <c r="BU8" i="2"/>
  <c r="CQ8" i="2" s="1"/>
  <c r="BV20" i="2"/>
  <c r="AZ65" i="2"/>
  <c r="BT137" i="2"/>
  <c r="BT91" i="2"/>
  <c r="AG130" i="2"/>
  <c r="DK135" i="2"/>
  <c r="DK139" i="2" s="1"/>
  <c r="DK141" i="2" s="1"/>
  <c r="DK58" i="2"/>
  <c r="DK130" i="2" s="1"/>
  <c r="DB128" i="2"/>
  <c r="DB130" i="2" s="1"/>
  <c r="CR110" i="2"/>
  <c r="DH140" i="2"/>
  <c r="DH108" i="2"/>
  <c r="DH130" i="2" s="1"/>
  <c r="CR93" i="2"/>
  <c r="AC55" i="2"/>
  <c r="AY55" i="2" s="1"/>
  <c r="BE91" i="2"/>
  <c r="AZ64" i="2"/>
  <c r="BE137" i="2"/>
  <c r="AO139" i="2"/>
  <c r="AO141" i="2" s="1"/>
  <c r="AD132" i="2"/>
  <c r="BR138" i="2"/>
  <c r="BR139" i="2" s="1"/>
  <c r="BR141" i="2" s="1"/>
  <c r="BR128" i="2"/>
  <c r="BR130" i="2" s="1"/>
  <c r="BH139" i="2"/>
  <c r="BH141" i="2" s="1"/>
  <c r="AC86" i="2"/>
  <c r="AY86" i="2" s="1"/>
  <c r="G138" i="2"/>
  <c r="BU121" i="2"/>
  <c r="CQ121" i="2" s="1"/>
  <c r="BK132" i="2"/>
  <c r="BK139" i="2" s="1"/>
  <c r="BK141" i="2" s="1"/>
  <c r="BK128" i="2"/>
  <c r="BK130" i="2" s="1"/>
  <c r="AD137" i="2"/>
  <c r="BB139" i="2"/>
  <c r="BB141" i="2" s="1"/>
  <c r="BU54" i="2"/>
  <c r="CQ54" i="2" s="1"/>
  <c r="AC54" i="2"/>
  <c r="AY54" i="2" s="1"/>
  <c r="BU7" i="2"/>
  <c r="CQ7" i="2" s="1"/>
  <c r="G136" i="2"/>
  <c r="AC7" i="2"/>
  <c r="AY7" i="2" s="1"/>
  <c r="G20" i="2"/>
  <c r="CR25" i="2"/>
  <c r="BU115" i="2"/>
  <c r="CQ115" i="2" s="1"/>
  <c r="AZ120" i="2"/>
  <c r="BM128" i="2"/>
  <c r="BM133" i="2"/>
  <c r="CR39" i="2"/>
  <c r="BU120" i="2"/>
  <c r="CQ120" i="2" s="1"/>
  <c r="AC100" i="2"/>
  <c r="AY100" i="2" s="1"/>
  <c r="BG128" i="2"/>
  <c r="BG132" i="2"/>
  <c r="BG139" i="2" s="1"/>
  <c r="BG141" i="2" s="1"/>
  <c r="AC76" i="2"/>
  <c r="AY76" i="2" s="1"/>
  <c r="DG38" i="2"/>
  <c r="DG135" i="2" s="1"/>
  <c r="DG139" i="2" s="1"/>
  <c r="BV38" i="2"/>
  <c r="BU109" i="2"/>
  <c r="CQ109" i="2" s="1"/>
  <c r="BV128" i="2"/>
  <c r="CU133" i="2"/>
  <c r="BU122" i="2"/>
  <c r="CQ122" i="2" s="1"/>
  <c r="CW137" i="2"/>
  <c r="DL128" i="2"/>
  <c r="DL132" i="2"/>
  <c r="BP108" i="2"/>
  <c r="BP130" i="2" s="1"/>
  <c r="BC134" i="2"/>
  <c r="AZ8" i="2"/>
  <c r="BU127" i="2"/>
  <c r="CQ127" i="2" s="1"/>
  <c r="BP140" i="2"/>
  <c r="AC56" i="2"/>
  <c r="AY56" i="2" s="1"/>
  <c r="AC16" i="2"/>
  <c r="AY16" i="2" s="1"/>
  <c r="BU16" i="2"/>
  <c r="CQ16" i="2" s="1"/>
  <c r="CR112" i="2"/>
  <c r="BY139" i="2"/>
  <c r="BY141" i="2" s="1"/>
  <c r="BV132" i="2"/>
  <c r="CU134" i="2"/>
  <c r="CR8" i="2"/>
  <c r="AC89" i="2"/>
  <c r="AY89" i="2" s="1"/>
  <c r="AC72" i="2"/>
  <c r="AY72" i="2" s="1"/>
  <c r="CU128" i="2"/>
  <c r="CS130" i="2"/>
  <c r="DF130" i="2"/>
  <c r="AA130" i="2"/>
  <c r="CK58" i="2"/>
  <c r="CK130" i="2" s="1"/>
  <c r="BU96" i="2"/>
  <c r="CQ96" i="2" s="1"/>
  <c r="AC80" i="2"/>
  <c r="AY80" i="2" s="1"/>
  <c r="AC83" i="2"/>
  <c r="AY83" i="2" s="1"/>
  <c r="DL58" i="2"/>
  <c r="BU22" i="2"/>
  <c r="CQ22" i="2" s="1"/>
  <c r="AQ139" i="2"/>
  <c r="AQ141" i="2" s="1"/>
  <c r="AC111" i="2"/>
  <c r="AY111" i="2" s="1"/>
  <c r="AC78" i="2"/>
  <c r="AY78" i="2" s="1"/>
  <c r="BU57" i="2"/>
  <c r="CQ57" i="2" s="1"/>
  <c r="AC123" i="2"/>
  <c r="AY123" i="2" s="1"/>
  <c r="CP139" i="2"/>
  <c r="CP141" i="2" s="1"/>
  <c r="CV139" i="2"/>
  <c r="CV141" i="2" s="1"/>
  <c r="AC127" i="2"/>
  <c r="AY127" i="2" s="1"/>
  <c r="AC110" i="2"/>
  <c r="AY110" i="2" s="1"/>
  <c r="DE133" i="2"/>
  <c r="BC133" i="2"/>
  <c r="CS139" i="2"/>
  <c r="CS141" i="2" s="1"/>
  <c r="DC132" i="2"/>
  <c r="DC139" i="2" s="1"/>
  <c r="DC141" i="2" s="1"/>
  <c r="DC128" i="2"/>
  <c r="DC130" i="2" s="1"/>
  <c r="BH130" i="2"/>
  <c r="BU101" i="2"/>
  <c r="CQ101" i="2" s="1"/>
  <c r="AA139" i="2"/>
  <c r="AA141" i="2" s="1"/>
  <c r="AC103" i="2"/>
  <c r="AY103" i="2" s="1"/>
  <c r="AC104" i="2"/>
  <c r="AY104" i="2" s="1"/>
  <c r="BA130" i="2"/>
  <c r="DH139" i="2"/>
  <c r="BU37" i="2"/>
  <c r="CQ37" i="2" s="1"/>
  <c r="BT58" i="2"/>
  <c r="AZ112" i="2"/>
  <c r="BU125" i="2"/>
  <c r="CQ125" i="2" s="1"/>
  <c r="AC118" i="2"/>
  <c r="AY118" i="2" s="1"/>
  <c r="CR109" i="2"/>
  <c r="AC38" i="2"/>
  <c r="AY38" i="2" s="1"/>
  <c r="BU51" i="2"/>
  <c r="CQ51" i="2" s="1"/>
  <c r="DL91" i="2"/>
  <c r="BV140" i="2"/>
  <c r="BJ130" i="2"/>
  <c r="BU25" i="2"/>
  <c r="CQ25" i="2" s="1"/>
  <c r="AI130" i="2"/>
  <c r="AD58" i="2"/>
  <c r="AC21" i="2"/>
  <c r="AY21" i="2" s="1"/>
  <c r="DA130" i="2"/>
  <c r="AD108" i="2"/>
  <c r="AC96" i="2"/>
  <c r="AY96" i="2" s="1"/>
  <c r="BU62" i="2"/>
  <c r="CQ62" i="2" s="1"/>
  <c r="AX130" i="2"/>
  <c r="CP130" i="2"/>
  <c r="BU76" i="2"/>
  <c r="CQ76" i="2" s="1"/>
  <c r="BU104" i="2"/>
  <c r="CQ104" i="2" s="1"/>
  <c r="AC114" i="2"/>
  <c r="AY114" i="2" s="1"/>
  <c r="DD139" i="2"/>
  <c r="DD141" i="2" s="1"/>
  <c r="AC105" i="2"/>
  <c r="AY105" i="2" s="1"/>
  <c r="AX139" i="2"/>
  <c r="AX141" i="2" s="1"/>
  <c r="AD140" i="2"/>
  <c r="AD133" i="2"/>
  <c r="AC121" i="2"/>
  <c r="AY121" i="2" s="1"/>
  <c r="AC122" i="2"/>
  <c r="AY122" i="2" s="1"/>
  <c r="BU110" i="2"/>
  <c r="CQ110" i="2" s="1"/>
  <c r="BC20" i="2"/>
  <c r="G132" i="2"/>
  <c r="G128" i="2"/>
  <c r="DJ139" i="2"/>
  <c r="DJ141" i="2" s="1"/>
  <c r="BN136" i="2"/>
  <c r="AC112" i="2"/>
  <c r="AY112" i="2" s="1"/>
  <c r="DL137" i="2"/>
  <c r="CK135" i="2"/>
  <c r="CK139" i="2" s="1"/>
  <c r="CK141" i="2" s="1"/>
  <c r="BG130" i="2"/>
  <c r="AC62" i="2"/>
  <c r="AY62" i="2" s="1"/>
  <c r="AD91" i="2"/>
  <c r="BV108" i="2"/>
  <c r="BU93" i="2"/>
  <c r="CQ93" i="2" s="1"/>
  <c r="BU63" i="2"/>
  <c r="CQ63" i="2" s="1"/>
  <c r="J130" i="2"/>
  <c r="AC8" i="2"/>
  <c r="AY8" i="2" s="1"/>
  <c r="CX137" i="2"/>
  <c r="CX139" i="2" s="1"/>
  <c r="CX141" i="2" s="1"/>
  <c r="CX91" i="2"/>
  <c r="CY139" i="2"/>
  <c r="CY141" i="2" s="1"/>
  <c r="BY130" i="2"/>
  <c r="BU44" i="2"/>
  <c r="CQ44" i="2" s="1"/>
  <c r="DF138" i="2"/>
  <c r="CR138" i="2" s="1"/>
  <c r="CR121" i="2"/>
  <c r="AZ110" i="2"/>
  <c r="AC107" i="2"/>
  <c r="AY107" i="2" s="1"/>
  <c r="BO58" i="2"/>
  <c r="BO130" i="2" s="1"/>
  <c r="BL130" i="2"/>
  <c r="AC23" i="2"/>
  <c r="AY23" i="2" s="1"/>
  <c r="G91" i="2"/>
  <c r="AG139" i="2"/>
  <c r="AG141" i="2" s="1"/>
  <c r="AC120" i="2"/>
  <c r="AY120" i="2" s="1"/>
  <c r="BT133" i="2"/>
  <c r="CT108" i="2"/>
  <c r="CT130" i="2" s="1"/>
  <c r="BD132" i="2"/>
  <c r="BD139" i="2" s="1"/>
  <c r="BD141" i="2" s="1"/>
  <c r="BO140" i="2"/>
  <c r="DA139" i="2"/>
  <c r="DA141" i="2" s="1"/>
  <c r="BI139" i="2"/>
  <c r="BI141" i="2" s="1"/>
  <c r="AQ130" i="2"/>
  <c r="BL135" i="2"/>
  <c r="CU136" i="2"/>
  <c r="BU103" i="2"/>
  <c r="CQ103" i="2" s="1"/>
  <c r="G58" i="2"/>
  <c r="AC27" i="2"/>
  <c r="AY27" i="2" s="1"/>
  <c r="AC115" i="2"/>
  <c r="AY115" i="2" s="1"/>
  <c r="G135" i="2"/>
  <c r="BU61" i="2"/>
  <c r="CQ61" i="2" s="1"/>
  <c r="BC132" i="2"/>
  <c r="BC128" i="2"/>
  <c r="AZ109" i="2"/>
  <c r="AC37" i="2"/>
  <c r="AY37" i="2" s="1"/>
  <c r="CZ139" i="2"/>
  <c r="CZ141" i="2" s="1"/>
  <c r="AC116" i="2"/>
  <c r="AY116" i="2" s="1"/>
  <c r="BN138" i="2"/>
  <c r="AZ121" i="2"/>
  <c r="BA139" i="2"/>
  <c r="BA141" i="2" s="1"/>
  <c r="BC135" i="2"/>
  <c r="BC58" i="2"/>
  <c r="AC13" i="2"/>
  <c r="AY13" i="2" s="1"/>
  <c r="BO135" i="2"/>
  <c r="G134" i="2"/>
  <c r="CR59" i="2"/>
  <c r="CR7" i="2"/>
  <c r="BU77" i="2"/>
  <c r="CQ77" i="2" s="1"/>
  <c r="G137" i="2"/>
  <c r="G133" i="1"/>
  <c r="DN133" i="1" s="1"/>
  <c r="O142" i="1"/>
  <c r="CA139" i="1"/>
  <c r="CA141" i="1" s="1"/>
  <c r="BG139" i="1"/>
  <c r="BG141" i="1" s="1"/>
  <c r="R142" i="1"/>
  <c r="M139" i="1"/>
  <c r="M141" i="1" s="1"/>
  <c r="M142" i="1" s="1"/>
  <c r="L139" i="1"/>
  <c r="L141" i="1" s="1"/>
  <c r="CH139" i="1"/>
  <c r="CH141" i="1" s="1"/>
  <c r="CH142" i="1" s="1"/>
  <c r="AH142" i="1"/>
  <c r="N142" i="1"/>
  <c r="CV139" i="1"/>
  <c r="CV141" i="1" s="1"/>
  <c r="BB139" i="1"/>
  <c r="V141" i="1"/>
  <c r="V142" i="1" s="1"/>
  <c r="BV138" i="1"/>
  <c r="BU138" i="1" s="1"/>
  <c r="CQ138" i="1" s="1"/>
  <c r="CP139" i="1"/>
  <c r="CP141" i="1" s="1"/>
  <c r="AN142" i="1"/>
  <c r="AO142" i="1"/>
  <c r="AS142" i="1"/>
  <c r="CT139" i="1"/>
  <c r="CT141" i="1" s="1"/>
  <c r="AT141" i="1"/>
  <c r="AT142" i="1" s="1"/>
  <c r="DK139" i="1"/>
  <c r="DK141" i="1" s="1"/>
  <c r="DK142" i="1" s="1"/>
  <c r="U142" i="1"/>
  <c r="DI142" i="1"/>
  <c r="AP142" i="1"/>
  <c r="DG58" i="1"/>
  <c r="CR96" i="1"/>
  <c r="DL108" i="1"/>
  <c r="DL140" i="1"/>
  <c r="AZ133" i="1"/>
  <c r="DO133" i="1" s="1"/>
  <c r="BZ142" i="1"/>
  <c r="BD132" i="1"/>
  <c r="BD139" i="1" s="1"/>
  <c r="BD141" i="1" s="1"/>
  <c r="BD128" i="1"/>
  <c r="BD130" i="1" s="1"/>
  <c r="G134" i="1"/>
  <c r="DN134" i="1" s="1"/>
  <c r="DN8" i="1"/>
  <c r="DN16" i="1"/>
  <c r="AC16" i="1"/>
  <c r="AY16" i="1" s="1"/>
  <c r="G136" i="1"/>
  <c r="DN136" i="1" s="1"/>
  <c r="DN71" i="1"/>
  <c r="AC71" i="1"/>
  <c r="AY71" i="1" s="1"/>
  <c r="BU71" i="1"/>
  <c r="CQ71" i="1" s="1"/>
  <c r="CU58" i="1"/>
  <c r="CR22" i="1"/>
  <c r="CU135" i="1"/>
  <c r="DL128" i="1"/>
  <c r="DL132" i="1"/>
  <c r="AC133" i="1"/>
  <c r="AY133" i="1" s="1"/>
  <c r="DO122" i="1"/>
  <c r="AC122" i="1"/>
  <c r="AY122" i="1" s="1"/>
  <c r="BC108" i="1"/>
  <c r="DP109" i="1"/>
  <c r="BC135" i="1"/>
  <c r="BC58" i="1"/>
  <c r="AZ21" i="1"/>
  <c r="DO21" i="1" s="1"/>
  <c r="DO66" i="1"/>
  <c r="AC66" i="1"/>
  <c r="AY66" i="1" s="1"/>
  <c r="DF138" i="1"/>
  <c r="DF139" i="1" s="1"/>
  <c r="DF141" i="1" s="1"/>
  <c r="CR121" i="1"/>
  <c r="DF128" i="1"/>
  <c r="BU59" i="1"/>
  <c r="CQ59" i="1" s="1"/>
  <c r="BV91" i="1"/>
  <c r="BO58" i="1"/>
  <c r="BO130" i="1" s="1"/>
  <c r="AZ28" i="1"/>
  <c r="DO28" i="1" s="1"/>
  <c r="CU20" i="1"/>
  <c r="CR7" i="1"/>
  <c r="DP7" i="1" s="1"/>
  <c r="CU136" i="1"/>
  <c r="BP140" i="1"/>
  <c r="AZ96" i="1"/>
  <c r="BP108" i="1"/>
  <c r="BP130" i="1" s="1"/>
  <c r="AX139" i="1"/>
  <c r="AX141" i="1" s="1"/>
  <c r="DP103" i="1"/>
  <c r="BU103" i="1"/>
  <c r="CQ103" i="1" s="1"/>
  <c r="DG135" i="1"/>
  <c r="DG139" i="1" s="1"/>
  <c r="DE130" i="1"/>
  <c r="DP93" i="1"/>
  <c r="BG130" i="1"/>
  <c r="BG142" i="1" s="1"/>
  <c r="DP42" i="1"/>
  <c r="BU42" i="1"/>
  <c r="CQ42" i="1" s="1"/>
  <c r="DC132" i="1"/>
  <c r="DC139" i="1" s="1"/>
  <c r="DC141" i="1" s="1"/>
  <c r="DC128" i="1"/>
  <c r="DC130" i="1" s="1"/>
  <c r="CN142" i="1"/>
  <c r="DO49" i="1"/>
  <c r="AC49" i="1"/>
  <c r="AY49" i="1" s="1"/>
  <c r="CR119" i="1"/>
  <c r="DP119" i="1" s="1"/>
  <c r="CU133" i="1"/>
  <c r="CY132" i="1"/>
  <c r="CY139" i="1" s="1"/>
  <c r="CY141" i="1" s="1"/>
  <c r="CY128" i="1"/>
  <c r="CY130" i="1" s="1"/>
  <c r="DG140" i="1"/>
  <c r="CR107" i="1"/>
  <c r="DP107" i="1" s="1"/>
  <c r="DG108" i="1"/>
  <c r="DN107" i="1"/>
  <c r="G108" i="1"/>
  <c r="DN108" i="1" s="1"/>
  <c r="BU107" i="1"/>
  <c r="CQ107" i="1" s="1"/>
  <c r="AC107" i="1"/>
  <c r="AY107" i="1" s="1"/>
  <c r="BI139" i="1"/>
  <c r="BI141" i="1" s="1"/>
  <c r="AZ104" i="1"/>
  <c r="DO104" i="1" s="1"/>
  <c r="BB108" i="1"/>
  <c r="BB130" i="1" s="1"/>
  <c r="BB140" i="1"/>
  <c r="AC60" i="1"/>
  <c r="AY60" i="1" s="1"/>
  <c r="DO60" i="1"/>
  <c r="BU97" i="1"/>
  <c r="CQ97" i="1" s="1"/>
  <c r="DP97" i="1"/>
  <c r="CD142" i="1"/>
  <c r="AZ107" i="1"/>
  <c r="DO107" i="1" s="1"/>
  <c r="BC140" i="1"/>
  <c r="BT128" i="1"/>
  <c r="DD58" i="1"/>
  <c r="DD130" i="1" s="1"/>
  <c r="DD135" i="1"/>
  <c r="DD139" i="1" s="1"/>
  <c r="DD141" i="1" s="1"/>
  <c r="CR41" i="1"/>
  <c r="DP41" i="1" s="1"/>
  <c r="DJ138" i="1"/>
  <c r="DJ139" i="1" s="1"/>
  <c r="DJ141" i="1" s="1"/>
  <c r="DJ128" i="1"/>
  <c r="DJ130" i="1" s="1"/>
  <c r="BU25" i="1"/>
  <c r="CQ25" i="1" s="1"/>
  <c r="DP25" i="1"/>
  <c r="BY139" i="1"/>
  <c r="BY141" i="1" s="1"/>
  <c r="BV132" i="1"/>
  <c r="AD140" i="1"/>
  <c r="AC111" i="1"/>
  <c r="AY111" i="1" s="1"/>
  <c r="BU76" i="1"/>
  <c r="CQ76" i="1" s="1"/>
  <c r="DN76" i="1"/>
  <c r="AC76" i="1"/>
  <c r="AY76" i="1" s="1"/>
  <c r="DH108" i="1"/>
  <c r="DH130" i="1" s="1"/>
  <c r="AC112" i="1"/>
  <c r="AY112" i="1" s="1"/>
  <c r="CR63" i="1"/>
  <c r="DP63" i="1" s="1"/>
  <c r="CW137" i="1"/>
  <c r="CW91" i="1"/>
  <c r="DO4" i="1"/>
  <c r="BU8" i="1"/>
  <c r="CQ8" i="1" s="1"/>
  <c r="BU19" i="1"/>
  <c r="CQ19" i="1" s="1"/>
  <c r="DP19" i="1"/>
  <c r="CW134" i="1"/>
  <c r="CR8" i="1"/>
  <c r="DP8" i="1" s="1"/>
  <c r="CR33" i="1"/>
  <c r="BU50" i="1"/>
  <c r="CQ50" i="1" s="1"/>
  <c r="DN50" i="1"/>
  <c r="AC50" i="1"/>
  <c r="AY50" i="1" s="1"/>
  <c r="G135" i="1"/>
  <c r="DN135" i="1" s="1"/>
  <c r="AC47" i="1"/>
  <c r="AY47" i="1" s="1"/>
  <c r="DO47" i="1"/>
  <c r="CB130" i="1"/>
  <c r="CB142" i="1" s="1"/>
  <c r="I142" i="1"/>
  <c r="BY130" i="1"/>
  <c r="DN9" i="1"/>
  <c r="AC9" i="1"/>
  <c r="AY9" i="1" s="1"/>
  <c r="DP21" i="1"/>
  <c r="P142" i="1"/>
  <c r="DP23" i="1"/>
  <c r="BU23" i="1"/>
  <c r="CQ23" i="1" s="1"/>
  <c r="AI130" i="1"/>
  <c r="BU41" i="1"/>
  <c r="CQ41" i="1" s="1"/>
  <c r="BM139" i="1"/>
  <c r="BM141" i="1" s="1"/>
  <c r="BU125" i="1"/>
  <c r="CQ125" i="1" s="1"/>
  <c r="DP125" i="1"/>
  <c r="DN119" i="1"/>
  <c r="BU119" i="1"/>
  <c r="CQ119" i="1" s="1"/>
  <c r="BC128" i="1"/>
  <c r="BC132" i="1"/>
  <c r="AZ109" i="1"/>
  <c r="DO109" i="1" s="1"/>
  <c r="DP100" i="1"/>
  <c r="BU100" i="1"/>
  <c r="CQ100" i="1" s="1"/>
  <c r="AD128" i="1"/>
  <c r="AC109" i="1"/>
  <c r="AY109" i="1" s="1"/>
  <c r="BK128" i="1"/>
  <c r="BK130" i="1" s="1"/>
  <c r="BK132" i="1"/>
  <c r="BK139" i="1" s="1"/>
  <c r="BK141" i="1" s="1"/>
  <c r="AC119" i="1"/>
  <c r="AY119" i="1" s="1"/>
  <c r="DP45" i="1"/>
  <c r="BU45" i="1"/>
  <c r="CQ45" i="1" s="1"/>
  <c r="CX58" i="1"/>
  <c r="BT20" i="1"/>
  <c r="G137" i="1"/>
  <c r="DN137" i="1" s="1"/>
  <c r="DN59" i="1"/>
  <c r="G91" i="1"/>
  <c r="DN91" i="1" s="1"/>
  <c r="DO48" i="1"/>
  <c r="AC48" i="1"/>
  <c r="AY48" i="1" s="1"/>
  <c r="BT135" i="1"/>
  <c r="AX130" i="1"/>
  <c r="BU4" i="1"/>
  <c r="CQ4" i="1" s="1"/>
  <c r="BV20" i="1"/>
  <c r="BO135" i="1"/>
  <c r="BO139" i="1" s="1"/>
  <c r="BO141" i="1" s="1"/>
  <c r="AC28" i="1"/>
  <c r="AY28" i="1" s="1"/>
  <c r="BM58" i="1"/>
  <c r="BU17" i="1"/>
  <c r="CQ17" i="1" s="1"/>
  <c r="AC8" i="1"/>
  <c r="AY8" i="1" s="1"/>
  <c r="AA139" i="1"/>
  <c r="AA141" i="1" s="1"/>
  <c r="AD20" i="1"/>
  <c r="DO42" i="1"/>
  <c r="AC42" i="1"/>
  <c r="AY42" i="1" s="1"/>
  <c r="DA130" i="1"/>
  <c r="DA142" i="1" s="1"/>
  <c r="CS139" i="1"/>
  <c r="CS141" i="1" s="1"/>
  <c r="BU96" i="1"/>
  <c r="CQ96" i="1" s="1"/>
  <c r="DL137" i="1"/>
  <c r="DL91" i="1"/>
  <c r="AZ41" i="1"/>
  <c r="DO41" i="1" s="1"/>
  <c r="J130" i="1"/>
  <c r="CW136" i="1"/>
  <c r="CW20" i="1"/>
  <c r="Z142" i="1"/>
  <c r="AC121" i="1"/>
  <c r="AY121" i="1" s="1"/>
  <c r="J139" i="1"/>
  <c r="J141" i="1" s="1"/>
  <c r="DO70" i="1"/>
  <c r="AC70" i="1"/>
  <c r="AY70" i="1" s="1"/>
  <c r="AD134" i="1"/>
  <c r="CG139" i="1"/>
  <c r="CG141" i="1" s="1"/>
  <c r="CG142" i="1" s="1"/>
  <c r="BV108" i="1"/>
  <c r="AC103" i="1"/>
  <c r="AY103" i="1" s="1"/>
  <c r="DO103" i="1"/>
  <c r="AV142" i="1"/>
  <c r="AM142" i="1"/>
  <c r="BA139" i="1"/>
  <c r="BA141" i="1" s="1"/>
  <c r="BU78" i="1"/>
  <c r="CQ78" i="1" s="1"/>
  <c r="DP78" i="1"/>
  <c r="CI142" i="1"/>
  <c r="CP130" i="1"/>
  <c r="CK135" i="1"/>
  <c r="DH139" i="1"/>
  <c r="DO89" i="1"/>
  <c r="AC89" i="1"/>
  <c r="AY89" i="1" s="1"/>
  <c r="DP39" i="1"/>
  <c r="BU39" i="1"/>
  <c r="CQ39" i="1" s="1"/>
  <c r="AW142" i="1"/>
  <c r="AC102" i="1"/>
  <c r="AY102" i="1" s="1"/>
  <c r="DO102" i="1"/>
  <c r="AC39" i="1"/>
  <c r="AY39" i="1" s="1"/>
  <c r="DN39" i="1"/>
  <c r="AZ8" i="1"/>
  <c r="DO8" i="1" s="1"/>
  <c r="DN82" i="1"/>
  <c r="AC82" i="1"/>
  <c r="AY82" i="1" s="1"/>
  <c r="BU64" i="1"/>
  <c r="CQ64" i="1" s="1"/>
  <c r="DP64" i="1"/>
  <c r="CR4" i="1"/>
  <c r="G58" i="1"/>
  <c r="DN58" i="1" s="1"/>
  <c r="AZ56" i="1"/>
  <c r="BI142" i="1"/>
  <c r="AF141" i="1"/>
  <c r="AF142" i="1" s="1"/>
  <c r="DP121" i="1"/>
  <c r="BU121" i="1"/>
  <c r="CQ121" i="1" s="1"/>
  <c r="CR110" i="1"/>
  <c r="CU132" i="1"/>
  <c r="AC108" i="1"/>
  <c r="AY108" i="1" s="1"/>
  <c r="CZ130" i="1"/>
  <c r="CZ142" i="1" s="1"/>
  <c r="K142" i="1"/>
  <c r="BU22" i="1"/>
  <c r="CQ22" i="1" s="1"/>
  <c r="CA130" i="1"/>
  <c r="AC123" i="1"/>
  <c r="AY123" i="1" s="1"/>
  <c r="DO123" i="1"/>
  <c r="DO115" i="1"/>
  <c r="AC115" i="1"/>
  <c r="AY115" i="1" s="1"/>
  <c r="BP139" i="1"/>
  <c r="BV140" i="1"/>
  <c r="AC56" i="1"/>
  <c r="AY56" i="1" s="1"/>
  <c r="DO56" i="1"/>
  <c r="BF137" i="1"/>
  <c r="BF91" i="1"/>
  <c r="BF130" i="1" s="1"/>
  <c r="AZ59" i="1"/>
  <c r="AZ91" i="1" s="1"/>
  <c r="BL135" i="1"/>
  <c r="BL139" i="1" s="1"/>
  <c r="BL141" i="1" s="1"/>
  <c r="T142" i="1"/>
  <c r="DN88" i="1"/>
  <c r="AC88" i="1"/>
  <c r="AY88" i="1" s="1"/>
  <c r="BS130" i="1"/>
  <c r="DP5" i="1"/>
  <c r="BU5" i="1"/>
  <c r="CQ5" i="1" s="1"/>
  <c r="AC127" i="1"/>
  <c r="AY127" i="1" s="1"/>
  <c r="DO127" i="1"/>
  <c r="G128" i="1"/>
  <c r="DN128" i="1" s="1"/>
  <c r="G132" i="1"/>
  <c r="DN109" i="1"/>
  <c r="DL58" i="1"/>
  <c r="DL130" i="1" s="1"/>
  <c r="BU29" i="1"/>
  <c r="CQ29" i="1" s="1"/>
  <c r="DP29" i="1"/>
  <c r="BF135" i="1"/>
  <c r="DF20" i="1"/>
  <c r="AC77" i="1"/>
  <c r="AY77" i="1" s="1"/>
  <c r="DO77" i="1"/>
  <c r="DO38" i="1"/>
  <c r="AC38" i="1"/>
  <c r="AY38" i="1" s="1"/>
  <c r="AA130" i="1"/>
  <c r="AA142" i="1" s="1"/>
  <c r="DP60" i="1"/>
  <c r="BU60" i="1"/>
  <c r="CQ60" i="1" s="1"/>
  <c r="CV130" i="1"/>
  <c r="BJ132" i="1"/>
  <c r="BJ139" i="1" s="1"/>
  <c r="BJ141" i="1" s="1"/>
  <c r="CS130" i="1"/>
  <c r="BH139" i="1"/>
  <c r="BH141" i="1" s="1"/>
  <c r="BH142" i="1" s="1"/>
  <c r="BE136" i="1"/>
  <c r="DO72" i="1"/>
  <c r="AC72" i="1"/>
  <c r="AY72" i="1" s="1"/>
  <c r="CZ139" i="1"/>
  <c r="CZ141" i="1" s="1"/>
  <c r="DP87" i="1"/>
  <c r="BU87" i="1"/>
  <c r="CQ87" i="1" s="1"/>
  <c r="DP70" i="1"/>
  <c r="BU70" i="1"/>
  <c r="CQ70" i="1" s="1"/>
  <c r="AD58" i="1"/>
  <c r="AC21" i="1"/>
  <c r="AY21" i="1" s="1"/>
  <c r="DO64" i="1"/>
  <c r="AC64" i="1"/>
  <c r="AY64" i="1" s="1"/>
  <c r="BS139" i="1"/>
  <c r="BS141" i="1" s="1"/>
  <c r="DP110" i="1"/>
  <c r="BU110" i="1"/>
  <c r="CQ110" i="1" s="1"/>
  <c r="AD137" i="1"/>
  <c r="BU111" i="1"/>
  <c r="CQ111" i="1" s="1"/>
  <c r="BU115" i="1"/>
  <c r="CQ115" i="1" s="1"/>
  <c r="AI139" i="1"/>
  <c r="AI141" i="1" s="1"/>
  <c r="BX141" i="1"/>
  <c r="BX142" i="1" s="1"/>
  <c r="BV128" i="1"/>
  <c r="BN138" i="1"/>
  <c r="AZ138" i="1" s="1"/>
  <c r="DO138" i="1" s="1"/>
  <c r="AZ121" i="1"/>
  <c r="DO121" i="1" s="1"/>
  <c r="DP81" i="1"/>
  <c r="BU81" i="1"/>
  <c r="CQ81" i="1" s="1"/>
  <c r="AC104" i="1"/>
  <c r="AY104" i="1" s="1"/>
  <c r="G140" i="1"/>
  <c r="DN140" i="1" s="1"/>
  <c r="CU128" i="1"/>
  <c r="AC100" i="1"/>
  <c r="AY100" i="1" s="1"/>
  <c r="DO100" i="1"/>
  <c r="DA139" i="1"/>
  <c r="DA141" i="1" s="1"/>
  <c r="DP86" i="1"/>
  <c r="BU86" i="1"/>
  <c r="CQ86" i="1" s="1"/>
  <c r="DB130" i="1"/>
  <c r="DB142" i="1" s="1"/>
  <c r="CX137" i="1"/>
  <c r="CX91" i="1"/>
  <c r="CX130" i="1" s="1"/>
  <c r="AC55" i="1"/>
  <c r="AY55" i="1" s="1"/>
  <c r="DO55" i="1"/>
  <c r="DO37" i="1"/>
  <c r="AC37" i="1"/>
  <c r="AY37" i="1" s="1"/>
  <c r="L130" i="1"/>
  <c r="L142" i="1" s="1"/>
  <c r="BU126" i="1"/>
  <c r="CQ126" i="1" s="1"/>
  <c r="DP126" i="1"/>
  <c r="BT137" i="1"/>
  <c r="BT91" i="1"/>
  <c r="BJ130" i="1"/>
  <c r="DP102" i="1"/>
  <c r="BU102" i="1"/>
  <c r="CQ102" i="1" s="1"/>
  <c r="DP52" i="1"/>
  <c r="BU52" i="1"/>
  <c r="CQ52" i="1" s="1"/>
  <c r="DO59" i="1"/>
  <c r="AD91" i="1"/>
  <c r="AC59" i="1"/>
  <c r="AY59" i="1" s="1"/>
  <c r="DP33" i="1"/>
  <c r="BU33" i="1"/>
  <c r="CQ33" i="1" s="1"/>
  <c r="BU118" i="1"/>
  <c r="CQ118" i="1" s="1"/>
  <c r="BE91" i="1"/>
  <c r="BU9" i="1"/>
  <c r="CQ9" i="1" s="1"/>
  <c r="DN7" i="1"/>
  <c r="G20" i="1"/>
  <c r="AC96" i="1"/>
  <c r="AY96" i="1" s="1"/>
  <c r="CT108" i="1"/>
  <c r="CT130" i="1" s="1"/>
  <c r="CR59" i="1"/>
  <c r="CR91" i="1" s="1"/>
  <c r="BU53" i="1"/>
  <c r="CQ53" i="1" s="1"/>
  <c r="DP53" i="1"/>
  <c r="AR130" i="1"/>
  <c r="AR142" i="1" s="1"/>
  <c r="BE20" i="1"/>
  <c r="DP38" i="1" l="1"/>
  <c r="AJ142" i="1"/>
  <c r="CR136" i="2"/>
  <c r="DG130" i="1"/>
  <c r="CR58" i="1"/>
  <c r="DG141" i="2"/>
  <c r="CX139" i="1"/>
  <c r="CX141" i="1" s="1"/>
  <c r="CX142" i="1" s="1"/>
  <c r="BM130" i="1"/>
  <c r="BM142" i="1" s="1"/>
  <c r="AC132" i="1"/>
  <c r="AY132" i="1" s="1"/>
  <c r="BL139" i="2"/>
  <c r="BL141" i="2" s="1"/>
  <c r="BE139" i="1"/>
  <c r="BE141" i="1" s="1"/>
  <c r="CR128" i="1"/>
  <c r="DP128" i="1" s="1"/>
  <c r="CR140" i="1"/>
  <c r="CW130" i="2"/>
  <c r="AZ58" i="2"/>
  <c r="CR134" i="2"/>
  <c r="BS142" i="1"/>
  <c r="CR20" i="1"/>
  <c r="DP20" i="1" s="1"/>
  <c r="DH141" i="1"/>
  <c r="DH142" i="1" s="1"/>
  <c r="BU38" i="1"/>
  <c r="CQ38" i="1" s="1"/>
  <c r="AG142" i="1"/>
  <c r="CQ58" i="1"/>
  <c r="AC138" i="2"/>
  <c r="AY138" i="2" s="1"/>
  <c r="BV58" i="1"/>
  <c r="DF130" i="1"/>
  <c r="CR133" i="1"/>
  <c r="DP133" i="1" s="1"/>
  <c r="DP22" i="1"/>
  <c r="AZ134" i="2"/>
  <c r="BD142" i="1"/>
  <c r="AZ20" i="1"/>
  <c r="CW139" i="1"/>
  <c r="CW141" i="1" s="1"/>
  <c r="AZ108" i="1"/>
  <c r="DO108" i="1" s="1"/>
  <c r="BT130" i="1"/>
  <c r="BC130" i="1"/>
  <c r="AX142" i="1"/>
  <c r="CP142" i="1"/>
  <c r="BL142" i="1"/>
  <c r="DE142" i="1"/>
  <c r="CR108" i="1"/>
  <c r="BB141" i="1"/>
  <c r="BB142" i="1" s="1"/>
  <c r="BF139" i="2"/>
  <c r="BF141" i="2" s="1"/>
  <c r="CR140" i="2"/>
  <c r="BO139" i="2"/>
  <c r="BO141" i="2" s="1"/>
  <c r="CX130" i="2"/>
  <c r="AZ108" i="2"/>
  <c r="BT139" i="2"/>
  <c r="BT141" i="2" s="1"/>
  <c r="BE130" i="2"/>
  <c r="CT141" i="2"/>
  <c r="BU134" i="2"/>
  <c r="CQ134" i="2" s="1"/>
  <c r="BP141" i="2"/>
  <c r="BT130" i="2"/>
  <c r="BM139" i="2"/>
  <c r="BM141" i="2" s="1"/>
  <c r="DE130" i="2"/>
  <c r="BM130" i="2"/>
  <c r="CR20" i="2"/>
  <c r="CU130" i="2"/>
  <c r="BU91" i="2"/>
  <c r="CQ91" i="2" s="1"/>
  <c r="CW139" i="2"/>
  <c r="CW141" i="2" s="1"/>
  <c r="AD130" i="2"/>
  <c r="AZ20" i="2"/>
  <c r="AZ135" i="2"/>
  <c r="AZ133" i="2"/>
  <c r="CR38" i="2"/>
  <c r="CR58" i="2" s="1"/>
  <c r="DE139" i="2"/>
  <c r="DE141" i="2" s="1"/>
  <c r="DF139" i="2"/>
  <c r="DF141" i="2" s="1"/>
  <c r="CR135" i="2"/>
  <c r="BV135" i="2"/>
  <c r="BV139" i="2" s="1"/>
  <c r="CR128" i="2"/>
  <c r="DH141" i="2"/>
  <c r="BE139" i="2"/>
  <c r="BE141" i="2" s="1"/>
  <c r="AZ140" i="2"/>
  <c r="BN139" i="2"/>
  <c r="BN141" i="2" s="1"/>
  <c r="DG58" i="2"/>
  <c r="DG130" i="2" s="1"/>
  <c r="CR108" i="2"/>
  <c r="DL130" i="2"/>
  <c r="AZ132" i="2"/>
  <c r="CU139" i="2"/>
  <c r="CU141" i="2" s="1"/>
  <c r="AC140" i="2"/>
  <c r="AY140" i="2" s="1"/>
  <c r="CR137" i="2"/>
  <c r="BU38" i="2"/>
  <c r="CQ38" i="2" s="1"/>
  <c r="BU136" i="2"/>
  <c r="CQ136" i="2" s="1"/>
  <c r="G130" i="2"/>
  <c r="AC137" i="2"/>
  <c r="AY137" i="2" s="1"/>
  <c r="BU133" i="2"/>
  <c r="CQ133" i="2" s="1"/>
  <c r="BU140" i="2"/>
  <c r="CQ140" i="2" s="1"/>
  <c r="AZ128" i="2"/>
  <c r="G139" i="2"/>
  <c r="AC108" i="2"/>
  <c r="AY108" i="2" s="1"/>
  <c r="CR133" i="2"/>
  <c r="BC139" i="2"/>
  <c r="BC141" i="2" s="1"/>
  <c r="BU128" i="2"/>
  <c r="CQ128" i="2" s="1"/>
  <c r="BU137" i="2"/>
  <c r="CQ137" i="2" s="1"/>
  <c r="AC136" i="2"/>
  <c r="AY136" i="2" s="1"/>
  <c r="CR91" i="2"/>
  <c r="BU108" i="2"/>
  <c r="CQ108" i="2" s="1"/>
  <c r="CR132" i="2"/>
  <c r="BU132" i="2"/>
  <c r="CQ132" i="2" s="1"/>
  <c r="AC128" i="2"/>
  <c r="AY128" i="2" s="1"/>
  <c r="AZ138" i="2"/>
  <c r="AC91" i="2"/>
  <c r="AY91" i="2" s="1"/>
  <c r="BV58" i="2"/>
  <c r="DL139" i="2"/>
  <c r="DL141" i="2" s="1"/>
  <c r="AC132" i="2"/>
  <c r="AY132" i="2" s="1"/>
  <c r="AD139" i="2"/>
  <c r="AC135" i="2"/>
  <c r="AY135" i="2" s="1"/>
  <c r="AZ91" i="2"/>
  <c r="AC58" i="2"/>
  <c r="AY58" i="2" s="1"/>
  <c r="BU20" i="2"/>
  <c r="CQ20" i="2" s="1"/>
  <c r="AZ137" i="2"/>
  <c r="BC130" i="2"/>
  <c r="AC133" i="2"/>
  <c r="AY133" i="2" s="1"/>
  <c r="AZ136" i="2"/>
  <c r="BU138" i="2"/>
  <c r="CQ138" i="2" s="1"/>
  <c r="AC134" i="2"/>
  <c r="AY134" i="2" s="1"/>
  <c r="AC20" i="2"/>
  <c r="AY20" i="2" s="1"/>
  <c r="AC135" i="1"/>
  <c r="AY135" i="1" s="1"/>
  <c r="AC136" i="1"/>
  <c r="AY136" i="1" s="1"/>
  <c r="BF139" i="1"/>
  <c r="BF141" i="1" s="1"/>
  <c r="BF142" i="1" s="1"/>
  <c r="DG141" i="1"/>
  <c r="CA142" i="1"/>
  <c r="BU136" i="1"/>
  <c r="CQ136" i="1" s="1"/>
  <c r="DC142" i="1"/>
  <c r="AD139" i="1"/>
  <c r="AC139" i="1" s="1"/>
  <c r="AY139" i="1" s="1"/>
  <c r="DJ142" i="1"/>
  <c r="CT142" i="1"/>
  <c r="CV142" i="1"/>
  <c r="BP141" i="1"/>
  <c r="BP142" i="1" s="1"/>
  <c r="BU134" i="1"/>
  <c r="CQ134" i="1" s="1"/>
  <c r="BK142" i="1"/>
  <c r="CR135" i="1"/>
  <c r="AZ136" i="1"/>
  <c r="DO136" i="1" s="1"/>
  <c r="AZ140" i="1"/>
  <c r="DO140" i="1" s="1"/>
  <c r="CR137" i="1"/>
  <c r="DP137" i="1" s="1"/>
  <c r="DD142" i="1"/>
  <c r="AZ135" i="1"/>
  <c r="DO135" i="1" s="1"/>
  <c r="AZ137" i="1"/>
  <c r="DO137" i="1" s="1"/>
  <c r="BT139" i="1"/>
  <c r="BT141" i="1" s="1"/>
  <c r="BT142" i="1" s="1"/>
  <c r="CY142" i="1"/>
  <c r="CR136" i="1"/>
  <c r="DP136" i="1" s="1"/>
  <c r="DP4" i="1"/>
  <c r="CR134" i="1"/>
  <c r="DP134" i="1" s="1"/>
  <c r="CK139" i="1"/>
  <c r="CK141" i="1" s="1"/>
  <c r="CK142" i="1" s="1"/>
  <c r="BV135" i="1"/>
  <c r="J142" i="1"/>
  <c r="AI142" i="1"/>
  <c r="DP91" i="1"/>
  <c r="BU91" i="1"/>
  <c r="CQ91" i="1" s="1"/>
  <c r="G139" i="1"/>
  <c r="DN132" i="1"/>
  <c r="AZ58" i="1"/>
  <c r="DO58" i="1" s="1"/>
  <c r="BU128" i="1"/>
  <c r="CQ128" i="1" s="1"/>
  <c r="DP59" i="1"/>
  <c r="AC58" i="1"/>
  <c r="AY58" i="1" s="1"/>
  <c r="DO96" i="1"/>
  <c r="DP96" i="1"/>
  <c r="AC140" i="1"/>
  <c r="AY140" i="1" s="1"/>
  <c r="CU130" i="1"/>
  <c r="BU140" i="1"/>
  <c r="CQ140" i="1" s="1"/>
  <c r="DP140" i="1"/>
  <c r="AC128" i="1"/>
  <c r="AY128" i="1" s="1"/>
  <c r="BY142" i="1"/>
  <c r="BU137" i="1"/>
  <c r="CQ137" i="1" s="1"/>
  <c r="AC137" i="1"/>
  <c r="AY137" i="1" s="1"/>
  <c r="DF142" i="1"/>
  <c r="CU139" i="1"/>
  <c r="CU141" i="1" s="1"/>
  <c r="BE130" i="1"/>
  <c r="BJ142" i="1"/>
  <c r="AZ132" i="1"/>
  <c r="DP108" i="1"/>
  <c r="BU108" i="1"/>
  <c r="CQ108" i="1" s="1"/>
  <c r="AD130" i="1"/>
  <c r="AC20" i="1"/>
  <c r="AY20" i="1" s="1"/>
  <c r="DO20" i="1"/>
  <c r="BN139" i="1"/>
  <c r="BN141" i="1" s="1"/>
  <c r="BN142" i="1" s="1"/>
  <c r="AZ128" i="1"/>
  <c r="DO128" i="1" s="1"/>
  <c r="DL139" i="1"/>
  <c r="DL141" i="1" s="1"/>
  <c r="DL142" i="1" s="1"/>
  <c r="CR130" i="1"/>
  <c r="DO134" i="1"/>
  <c r="AC134" i="1"/>
  <c r="AY134" i="1" s="1"/>
  <c r="G130" i="1"/>
  <c r="DN20" i="1"/>
  <c r="DO91" i="1"/>
  <c r="AC91" i="1"/>
  <c r="AY91" i="1" s="1"/>
  <c r="CW130" i="1"/>
  <c r="CR132" i="1"/>
  <c r="BV130" i="1"/>
  <c r="BU20" i="1"/>
  <c r="CQ20" i="1" s="1"/>
  <c r="BC139" i="1"/>
  <c r="BC141" i="1" s="1"/>
  <c r="BC142" i="1" s="1"/>
  <c r="BV139" i="1"/>
  <c r="BU132" i="1"/>
  <c r="CQ132" i="1" s="1"/>
  <c r="BO142" i="1"/>
  <c r="CR138" i="1"/>
  <c r="DP138" i="1" s="1"/>
  <c r="DG142" i="1" l="1"/>
  <c r="DP58" i="1"/>
  <c r="BE142" i="1"/>
  <c r="BU58" i="1"/>
  <c r="CW142" i="1"/>
  <c r="CU142" i="1"/>
  <c r="AD141" i="1"/>
  <c r="AD142" i="1" s="1"/>
  <c r="CR130" i="2"/>
  <c r="BU135" i="2"/>
  <c r="CQ135" i="2" s="1"/>
  <c r="BU139" i="2"/>
  <c r="CQ139" i="2" s="1"/>
  <c r="BV141" i="2"/>
  <c r="AZ130" i="2"/>
  <c r="CR139" i="2"/>
  <c r="CR141" i="2" s="1"/>
  <c r="G141" i="2"/>
  <c r="AZ139" i="2"/>
  <c r="AZ141" i="2" s="1"/>
  <c r="BU58" i="2"/>
  <c r="CQ58" i="2" s="1"/>
  <c r="AD141" i="2"/>
  <c r="AC139" i="2"/>
  <c r="AY139" i="2" s="1"/>
  <c r="AC130" i="2"/>
  <c r="AY130" i="2" s="1"/>
  <c r="BV130" i="2"/>
  <c r="AZ130" i="1"/>
  <c r="DO130" i="1" s="1"/>
  <c r="CR139" i="1"/>
  <c r="CR141" i="1" s="1"/>
  <c r="CR142" i="1" s="1"/>
  <c r="AZ139" i="1"/>
  <c r="DO132" i="1"/>
  <c r="DP132" i="1"/>
  <c r="DN130" i="1"/>
  <c r="BU135" i="1"/>
  <c r="CQ135" i="1" s="1"/>
  <c r="DP135" i="1"/>
  <c r="AC130" i="1"/>
  <c r="AY130" i="1" s="1"/>
  <c r="DN139" i="1"/>
  <c r="G141" i="1"/>
  <c r="DN141" i="1" s="1"/>
  <c r="BV141" i="1"/>
  <c r="BV142" i="1" s="1"/>
  <c r="BU139" i="1"/>
  <c r="CQ139" i="1" s="1"/>
  <c r="DP130" i="1"/>
  <c r="BU130" i="1"/>
  <c r="CQ130" i="1" s="1"/>
  <c r="AC141" i="2" l="1"/>
  <c r="AY141" i="2" s="1"/>
  <c r="BU141" i="2"/>
  <c r="CQ141" i="2" s="1"/>
  <c r="BU130" i="2"/>
  <c r="CQ130" i="2" s="1"/>
  <c r="DP139" i="1"/>
  <c r="G142" i="1"/>
  <c r="AZ141" i="1"/>
  <c r="DO139" i="1"/>
  <c r="BU141" i="1"/>
  <c r="CQ141" i="1" s="1"/>
  <c r="BV146" i="1"/>
  <c r="DP141" i="1"/>
  <c r="AC141" i="1"/>
  <c r="AY141" i="1" s="1"/>
  <c r="AZ142" i="1" l="1"/>
  <c r="DO141" i="1"/>
  <c r="AD146" i="1"/>
</calcChain>
</file>

<file path=xl/sharedStrings.xml><?xml version="1.0" encoding="utf-8"?>
<sst xmlns="http://schemas.openxmlformats.org/spreadsheetml/2006/main" count="1633" uniqueCount="399">
  <si>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</si>
  <si>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</si>
  <si>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</si>
  <si>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</si>
  <si>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</si>
  <si>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</si>
  <si>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</si>
  <si>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</si>
  <si>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</si>
  <si>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</si>
  <si>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</si>
  <si>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</si>
  <si>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</si>
  <si>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</si>
  <si>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</si>
  <si>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</si>
  <si>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R.NACION FOMENTO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</si>
  <si>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</si>
  <si>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</si>
  <si>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</si>
  <si>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</si>
  <si>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</si>
  <si>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</si>
  <si>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</si>
  <si>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</si>
  <si>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</si>
  <si>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</si>
  <si>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</si>
  <si>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</si>
  <si>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</si>
  <si>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</si>
  <si>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</si>
  <si>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</si>
  <si>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</si>
  <si>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</si>
  <si>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</si>
  <si>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</si>
  <si>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</si>
  <si>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</si>
  <si>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</si>
  <si>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</si>
  <si>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</si>
  <si>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</si>
  <si>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</si>
  <si>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</si>
  <si>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</si>
  <si>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</si>
  <si>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</si>
  <si>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</si>
  <si>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</si>
  <si>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</si>
  <si>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</si>
  <si>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</si>
  <si>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</si>
  <si>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</si>
  <si>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</si>
  <si>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</si>
  <si>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</si>
  <si>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</si>
  <si>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</si>
  <si>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</si>
  <si>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</si>
  <si>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</si>
  <si>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</si>
  <si>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</si>
  <si>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</si>
  <si>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</si>
  <si>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</si>
  <si>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</si>
  <si>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</si>
  <si>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</si>
  <si>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</si>
  <si>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 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</si>
  <si>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</si>
  <si>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</si>
  <si>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</si>
  <si>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</si>
  <si>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</si>
  <si>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</si>
  <si>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</si>
  <si>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</si>
  <si>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</si>
  <si>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</si>
  <si>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</si>
  <si>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</si>
  <si>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</si>
  <si>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</si>
  <si>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</si>
  <si>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</si>
  <si>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</si>
  <si>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</si>
  <si>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</si>
  <si>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</si>
  <si>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</si>
  <si>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</si>
  <si>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</si>
  <si>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</si>
  <si>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</si>
  <si>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</si>
  <si>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</si>
  <si>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</si>
  <si>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</si>
  <si>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</si>
  <si>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</si>
  <si>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</si>
  <si>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</si>
  <si>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</si>
  <si>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</si>
  <si>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</si>
  <si>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</si>
  <si>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</si>
  <si>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</si>
  <si>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</si>
  <si>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</si>
  <si>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</si>
  <si>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</si>
  <si>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</si>
  <si>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</si>
  <si>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</si>
  <si>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</si>
  <si>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</si>
  <si>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</si>
  <si>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</si>
  <si>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</si>
  <si>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</si>
  <si>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</si>
  <si>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</si>
  <si>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</si>
  <si>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</si>
  <si>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</si>
  <si>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</si>
  <si>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</si>
  <si>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</si>
  <si>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</si>
  <si>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</si>
  <si>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</si>
  <si>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</si>
  <si>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</si>
  <si>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</si>
  <si>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</si>
  <si>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</si>
  <si>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</si>
  <si>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</si>
  <si>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</si>
  <si>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</si>
  <si>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</si>
  <si>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</si>
  <si>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</si>
  <si>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</si>
  <si>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</si>
  <si>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</si>
  <si>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</si>
  <si>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</si>
  <si>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</si>
  <si>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</si>
  <si>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</si>
  <si>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</si>
  <si>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</si>
  <si>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</si>
  <si>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</si>
  <si>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</si>
  <si>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</si>
  <si>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</si>
  <si>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</si>
  <si>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</si>
  <si>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</si>
  <si>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</si>
  <si>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</si>
  <si>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</si>
  <si>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</si>
  <si>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</si>
  <si>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</si>
  <si>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</si>
  <si>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</si>
  <si>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</si>
  <si>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</si>
  <si>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</si>
  <si>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</si>
  <si>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</si>
  <si>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</si>
  <si>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</si>
  <si>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</si>
  <si>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</si>
  <si>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</si>
  <si>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</si>
  <si>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</si>
  <si>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</si>
  <si>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</si>
  <si>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</si>
  <si>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</si>
  <si>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</si>
  <si>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</si>
  <si>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</si>
  <si>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</si>
  <si>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</si>
  <si>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</si>
  <si>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</si>
  <si>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</si>
  <si>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</si>
  <si>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</si>
  <si>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</si>
  <si>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</si>
  <si>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</si>
  <si>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</si>
  <si>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</si>
  <si>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</si>
  <si>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</si>
  <si>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</si>
  <si>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</si>
  <si>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</si>
  <si>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                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</si>
  <si>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</si>
  <si>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</si>
  <si>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</si>
  <si>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</si>
  <si>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</si>
  <si>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</si>
  <si>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</si>
  <si>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</si>
  <si>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</si>
  <si>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</si>
  <si>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</si>
  <si>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</si>
  <si>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</si>
  <si>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</si>
  <si>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</si>
  <si>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</si>
  <si>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</si>
  <si>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</si>
  <si>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</si>
  <si>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</si>
  <si>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</si>
  <si>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</si>
  <si>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</si>
  <si>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</si>
  <si>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</si>
  <si>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</si>
  <si>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</si>
  <si>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</si>
  <si>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</si>
  <si>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</si>
  <si>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</si>
  <si>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</si>
  <si>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</si>
  <si>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</si>
  <si>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</si>
  <si>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</si>
  <si>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</si>
  <si>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</si>
  <si>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</si>
  <si>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</si>
  <si>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</si>
  <si>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</si>
  <si>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</si>
  <si>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</si>
  <si>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</si>
  <si>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</si>
  <si>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</si>
  <si>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</si>
  <si>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</si>
  <si>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</si>
  <si>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</si>
  <si>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</si>
  <si>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</si>
  <si>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</si>
  <si>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</si>
  <si>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</si>
  <si>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</si>
  <si>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</si>
  <si>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</si>
  <si>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</si>
  <si>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</si>
  <si>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</si>
  <si>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</si>
  <si>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</si>
  <si>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</si>
  <si>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</si>
  <si>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</si>
  <si>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</si>
  <si>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</si>
  <si>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</si>
  <si>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</si>
  <si>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</si>
  <si>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</si>
  <si>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</si>
  <si>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</si>
  <si>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</si>
  <si>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</si>
  <si>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</si>
  <si>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</si>
  <si>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</si>
  <si>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</si>
  <si>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</si>
  <si>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</si>
  <si>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</si>
  <si>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</si>
  <si>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</si>
  <si>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</si>
  <si>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</si>
  <si>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</si>
  <si>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</si>
  <si>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</si>
  <si>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</si>
  <si>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</si>
  <si>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</si>
  <si>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</si>
  <si>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</si>
  <si>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</si>
  <si>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</si>
  <si>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</si>
  <si>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</si>
  <si>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</si>
  <si>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</si>
  <si>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SA-PY2b.2</t>
  </si>
  <si>
    <t>Mantenimiento de laboratorios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</si>
  <si>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</si>
  <si>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</si>
  <si>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</si>
  <si>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</si>
  <si>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</si>
  <si>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</t>
  </si>
  <si>
    <t>SA-PY2b.5</t>
  </si>
  <si>
    <t>Adquisición bibliografía.</t>
  </si>
  <si>
    <t>SA-PY2b.6</t>
  </si>
  <si>
    <t>Dotación de elementos de aseo y cafetería.</t>
  </si>
  <si>
    <t>F.EDUCACION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</si>
  <si>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</si>
  <si>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</si>
  <si>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</si>
  <si>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</si>
  <si>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</si>
  <si>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</si>
  <si>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</si>
  <si>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</si>
  <si>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</si>
  <si>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</si>
  <si>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</si>
  <si>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</si>
  <si>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</si>
  <si>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</si>
  <si>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</si>
  <si>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</si>
  <si>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</si>
  <si>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</si>
  <si>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</si>
  <si>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</si>
  <si>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</si>
  <si>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</si>
  <si>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</si>
  <si>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</si>
  <si>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</si>
  <si>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</si>
  <si>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</si>
  <si>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</si>
  <si>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</si>
  <si>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</si>
  <si>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</si>
  <si>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</si>
  <si>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</si>
  <si>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</si>
  <si>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</si>
  <si>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</si>
  <si>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</si>
  <si>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</si>
  <si>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</si>
  <si>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 xml:space="preserve">Capacitación a editores de revistas científicas;  Taller escritura de artìculos cientìficos. </t>
  </si>
  <si>
    <t>Convocatoria Banco Docentes Ocasionales 2017.</t>
  </si>
  <si>
    <t>Implementación  plataforma LCMS en la Usco para aumentar la tasa de cobertura bruta en la educación superior en el Departamento del Huila”</t>
  </si>
  <si>
    <t>EJECUCIÓN EN CDP</t>
  </si>
  <si>
    <t>$</t>
  </si>
  <si>
    <t>SALDOS POR EJECUTAR EN CDP</t>
  </si>
  <si>
    <t>EJECUCIÓN EN RP</t>
  </si>
  <si>
    <t xml:space="preserve">SALDOS POR EJECUTAR </t>
  </si>
  <si>
    <t>% EJECUTADO</t>
  </si>
  <si>
    <t>% EJEC. ACUMULADO</t>
  </si>
  <si>
    <t>BIENESTAR</t>
  </si>
  <si>
    <t>EJECUCIÓN TOTAL</t>
  </si>
  <si>
    <t>EJECUTADO ENERO A JUNIO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</si>
  <si>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</si>
  <si>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</si>
  <si>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</si>
  <si>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</si>
  <si>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</si>
  <si>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</si>
  <si>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</si>
  <si>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</si>
  <si>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</si>
  <si>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</si>
  <si>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</si>
  <si>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</si>
  <si>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</si>
  <si>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</si>
  <si>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</si>
  <si>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</si>
  <si>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</si>
  <si>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</si>
  <si>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B. UNIVERSITARIO</t>
  </si>
  <si>
    <t>EJECUTADO JUNIO</t>
  </si>
  <si>
    <t>EJECUCIÓN  POR SUBSISTEMAS EN MAYO  Y ACUMULADO DE ENERO A JUNIO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</si>
</sst>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5">
    <xf numFmtId="0" fontId="0" fillId="0" borderId="0"/>
    <xf numFmtId="0" fontId="1" fillId="2" borderId="0" applyNumberFormat="0" applyBorder="0" applyAlignment="0" applyProtection="0"/>
    <xf numFmtId="0" fontId="22" fillId="3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4" fillId="0" borderId="0"/>
  </cellStyleXfs>
  <cellXfs count="290">
    <xf numFmtId="0" fontId="0" fillId="0" borderId="0" xfId="0"/>
    <xf numFmtId="0" fontId="0" fillId="0" borderId="1" xfId="0" applyBorder="1"/>
    <xf numFmtId="0" fontId="6" fillId="4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6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7" borderId="1" xfId="0" applyFill="1" applyBorder="1" applyAlignment="1">
      <alignment vertical="center" wrapText="1"/>
    </xf>
    <xf numFmtId="0" fontId="0" fillId="7" borderId="8" xfId="0" applyFill="1" applyBorder="1" applyAlignment="1">
      <alignment vertical="center" wrapText="1"/>
    </xf>
    <xf numFmtId="0" fontId="6" fillId="4" borderId="3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6" fillId="6" borderId="8" xfId="0" applyFont="1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4" borderId="3" xfId="0" applyFill="1" applyBorder="1" applyAlignment="1">
      <alignment wrapText="1"/>
    </xf>
    <xf numFmtId="0" fontId="8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right" vertical="center" wrapText="1"/>
    </xf>
    <xf numFmtId="0" fontId="0" fillId="4" borderId="10" xfId="0" applyFill="1" applyBorder="1" applyAlignment="1">
      <alignment horizontal="center" vertical="center" wrapText="1"/>
    </xf>
    <xf numFmtId="10" fontId="13" fillId="0" borderId="1" xfId="0" applyNumberFormat="1" applyFont="1" applyBorder="1" applyAlignment="1">
      <alignment horizontal="center" vertical="center"/>
    </xf>
    <xf numFmtId="3" fontId="12" fillId="4" borderId="10" xfId="0" applyNumberFormat="1" applyFont="1" applyFill="1" applyBorder="1" applyAlignment="1">
      <alignment horizontal="right" vertical="center" wrapText="1"/>
    </xf>
    <xf numFmtId="3" fontId="14" fillId="0" borderId="10" xfId="0" applyNumberFormat="1" applyFont="1" applyFill="1" applyBorder="1" applyAlignment="1">
      <alignment horizontal="right" vertical="center" wrapText="1"/>
    </xf>
    <xf numFmtId="3" fontId="14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0" fillId="4" borderId="0" xfId="0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0" fillId="0" borderId="0" xfId="0" applyFont="1"/>
    <xf numFmtId="3" fontId="14" fillId="4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8" borderId="1" xfId="0" applyFill="1" applyBorder="1" applyAlignment="1">
      <alignment textRotation="255"/>
    </xf>
    <xf numFmtId="3" fontId="11" fillId="8" borderId="16" xfId="0" applyNumberFormat="1" applyFont="1" applyFill="1" applyBorder="1" applyAlignment="1">
      <alignment horizontal="center" vertical="center" wrapText="1"/>
    </xf>
    <xf numFmtId="3" fontId="16" fillId="8" borderId="16" xfId="0" applyNumberFormat="1" applyFont="1" applyFill="1" applyBorder="1" applyAlignment="1">
      <alignment vertical="center" wrapText="1"/>
    </xf>
    <xf numFmtId="0" fontId="10" fillId="8" borderId="16" xfId="0" applyFont="1" applyFill="1" applyBorder="1" applyAlignment="1">
      <alignment vertical="center" wrapText="1"/>
    </xf>
    <xf numFmtId="10" fontId="13" fillId="8" borderId="16" xfId="0" applyNumberFormat="1" applyFont="1" applyFill="1" applyBorder="1" applyAlignment="1">
      <alignment horizontal="center" vertical="center"/>
    </xf>
    <xf numFmtId="3" fontId="10" fillId="8" borderId="16" xfId="0" applyNumberFormat="1" applyFont="1" applyFill="1" applyBorder="1" applyAlignment="1">
      <alignment vertical="center" wrapText="1"/>
    </xf>
    <xf numFmtId="10" fontId="13" fillId="8" borderId="1" xfId="0" applyNumberFormat="1" applyFont="1" applyFill="1" applyBorder="1" applyAlignment="1">
      <alignment horizontal="center" vertical="center"/>
    </xf>
    <xf numFmtId="3" fontId="10" fillId="8" borderId="7" xfId="0" applyNumberFormat="1" applyFont="1" applyFill="1" applyBorder="1" applyAlignment="1">
      <alignment vertical="center" wrapText="1"/>
    </xf>
    <xf numFmtId="0" fontId="0" fillId="4" borderId="0" xfId="0" applyFill="1"/>
    <xf numFmtId="3" fontId="11" fillId="0" borderId="11" xfId="0" applyNumberFormat="1" applyFont="1" applyFill="1" applyBorder="1" applyAlignment="1">
      <alignment horizontal="center" vertical="center" wrapText="1"/>
    </xf>
    <xf numFmtId="3" fontId="12" fillId="4" borderId="11" xfId="0" applyNumberFormat="1" applyFont="1" applyFill="1" applyBorder="1" applyAlignment="1">
      <alignment horizontal="right" vertical="center" wrapText="1"/>
    </xf>
    <xf numFmtId="3" fontId="14" fillId="4" borderId="11" xfId="0" applyNumberFormat="1" applyFont="1" applyFill="1" applyBorder="1" applyAlignment="1">
      <alignment horizontal="right" vertical="center" wrapText="1"/>
    </xf>
    <xf numFmtId="3" fontId="14" fillId="0" borderId="11" xfId="0" applyNumberFormat="1" applyFont="1" applyFill="1" applyBorder="1" applyAlignment="1">
      <alignment horizontal="right" vertical="center" wrapText="1"/>
    </xf>
    <xf numFmtId="10" fontId="13" fillId="0" borderId="1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3" fontId="0" fillId="4" borderId="0" xfId="0" applyNumberFormat="1" applyFill="1" applyAlignment="1">
      <alignment vertical="center"/>
    </xf>
    <xf numFmtId="3" fontId="0" fillId="0" borderId="0" xfId="0" applyNumberFormat="1"/>
    <xf numFmtId="3" fontId="10" fillId="4" borderId="1" xfId="1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2" fillId="0" borderId="1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13" fillId="0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/>
    <xf numFmtId="3" fontId="11" fillId="8" borderId="1" xfId="0" applyNumberFormat="1" applyFont="1" applyFill="1" applyBorder="1" applyAlignment="1">
      <alignment horizontal="center" vertical="center" wrapText="1"/>
    </xf>
    <xf numFmtId="3" fontId="16" fillId="8" borderId="16" xfId="0" applyNumberFormat="1" applyFont="1" applyFill="1" applyBorder="1" applyAlignment="1">
      <alignment horizontal="right" vertical="center" wrapText="1"/>
    </xf>
    <xf numFmtId="3" fontId="16" fillId="8" borderId="2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vertical="top" wrapText="1"/>
    </xf>
    <xf numFmtId="3" fontId="14" fillId="4" borderId="1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3" fontId="11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12" fillId="4" borderId="7" xfId="0" applyNumberFormat="1" applyFont="1" applyFill="1" applyBorder="1" applyAlignment="1">
      <alignment horizontal="right" vertical="center" wrapText="1"/>
    </xf>
    <xf numFmtId="3" fontId="14" fillId="4" borderId="7" xfId="0" applyNumberFormat="1" applyFont="1" applyFill="1" applyBorder="1" applyAlignment="1">
      <alignment horizontal="right" vertical="center" wrapText="1"/>
    </xf>
    <xf numFmtId="3" fontId="14" fillId="0" borderId="7" xfId="0" applyNumberFormat="1" applyFont="1" applyFill="1" applyBorder="1" applyAlignment="1">
      <alignment horizontal="right" vertical="center" wrapText="1"/>
    </xf>
    <xf numFmtId="0" fontId="0" fillId="8" borderId="1" xfId="0" applyFill="1" applyBorder="1"/>
    <xf numFmtId="0" fontId="0" fillId="0" borderId="3" xfId="0" applyFont="1" applyBorder="1"/>
    <xf numFmtId="0" fontId="0" fillId="4" borderId="0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vertical="center" wrapText="1"/>
    </xf>
    <xf numFmtId="0" fontId="10" fillId="4" borderId="0" xfId="0" applyFont="1" applyFill="1" applyBorder="1"/>
    <xf numFmtId="0" fontId="10" fillId="4" borderId="0" xfId="0" applyFont="1" applyFill="1" applyBorder="1" applyAlignment="1">
      <alignment horizontal="center" textRotation="255" wrapText="1"/>
    </xf>
    <xf numFmtId="3" fontId="2" fillId="4" borderId="0" xfId="0" applyNumberFormat="1" applyFont="1" applyFill="1" applyBorder="1" applyAlignment="1">
      <alignment horizontal="right"/>
    </xf>
    <xf numFmtId="3" fontId="14" fillId="4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0" fillId="0" borderId="0" xfId="0" applyFont="1" applyFill="1" applyAlignment="1">
      <alignment horizontal="right"/>
    </xf>
    <xf numFmtId="3" fontId="14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4" fillId="0" borderId="4" xfId="0" applyNumberFormat="1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left" vertical="top" wrapText="1"/>
    </xf>
    <xf numFmtId="0" fontId="9" fillId="4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  <xf numFmtId="3" fontId="16" fillId="8" borderId="1" xfId="0" applyNumberFormat="1" applyFont="1" applyFill="1" applyBorder="1" applyAlignment="1">
      <alignment horizontal="righ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0" xfId="0" applyFill="1" applyBorder="1"/>
    <xf numFmtId="0" fontId="0" fillId="0" borderId="12" xfId="0" applyBorder="1" applyAlignment="1">
      <alignment horizontal="center" vertical="center" textRotation="255"/>
    </xf>
    <xf numFmtId="0" fontId="0" fillId="8" borderId="16" xfId="0" applyFill="1" applyBorder="1"/>
    <xf numFmtId="0" fontId="9" fillId="8" borderId="14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3" fontId="20" fillId="4" borderId="4" xfId="0" applyNumberFormat="1" applyFont="1" applyFill="1" applyBorder="1" applyAlignment="1">
      <alignment horizontal="right" vertical="center" wrapText="1"/>
    </xf>
    <xf numFmtId="3" fontId="20" fillId="4" borderId="11" xfId="0" applyNumberFormat="1" applyFont="1" applyFill="1" applyBorder="1" applyAlignment="1">
      <alignment horizontal="right" vertical="center" wrapText="1"/>
    </xf>
    <xf numFmtId="3" fontId="14" fillId="4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4" fillId="0" borderId="18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0" fontId="9" fillId="4" borderId="9" xfId="0" applyFont="1" applyFill="1" applyBorder="1" applyAlignment="1">
      <alignment vertical="center" wrapText="1"/>
    </xf>
    <xf numFmtId="0" fontId="0" fillId="4" borderId="9" xfId="0" applyFill="1" applyBorder="1"/>
    <xf numFmtId="3" fontId="10" fillId="0" borderId="9" xfId="0" applyNumberFormat="1" applyFont="1" applyFill="1" applyBorder="1"/>
    <xf numFmtId="3" fontId="10" fillId="0" borderId="1" xfId="0" applyNumberFormat="1" applyFont="1" applyFill="1" applyBorder="1"/>
    <xf numFmtId="3" fontId="9" fillId="4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9" fillId="4" borderId="9" xfId="0" applyNumberFormat="1" applyFont="1" applyFill="1" applyBorder="1" applyAlignment="1">
      <alignment horizontal="right" vertical="center" wrapText="1"/>
    </xf>
    <xf numFmtId="0" fontId="10" fillId="0" borderId="8" xfId="0" applyFont="1" applyFill="1" applyBorder="1"/>
    <xf numFmtId="0" fontId="10" fillId="0" borderId="9" xfId="0" applyFont="1" applyFill="1" applyBorder="1"/>
    <xf numFmtId="0" fontId="0" fillId="0" borderId="1" xfId="0" applyFill="1" applyBorder="1"/>
    <xf numFmtId="3" fontId="9" fillId="0" borderId="1" xfId="0" applyNumberFormat="1" applyFont="1" applyBorder="1" applyAlignment="1">
      <alignment horizontal="right" wrapText="1"/>
    </xf>
    <xf numFmtId="0" fontId="9" fillId="0" borderId="1" xfId="0" applyFont="1" applyBorder="1" applyAlignment="1">
      <alignment horizontal="right" vertical="center" wrapText="1"/>
    </xf>
    <xf numFmtId="3" fontId="9" fillId="0" borderId="1" xfId="0" applyNumberFormat="1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9" fillId="0" borderId="8" xfId="0" applyNumberFormat="1" applyFont="1" applyBorder="1" applyAlignment="1">
      <alignment vertical="center" wrapText="1"/>
    </xf>
    <xf numFmtId="10" fontId="0" fillId="4" borderId="1" xfId="0" applyNumberFormat="1" applyFill="1" applyBorder="1" applyAlignment="1">
      <alignment horizontal="center" vertical="center"/>
    </xf>
    <xf numFmtId="164" fontId="14" fillId="0" borderId="1" xfId="0" applyNumberFormat="1" applyFont="1" applyBorder="1" applyAlignment="1">
      <alignment vertical="center" wrapText="1"/>
    </xf>
    <xf numFmtId="164" fontId="14" fillId="0" borderId="8" xfId="0" applyNumberFormat="1" applyFont="1" applyBorder="1" applyAlignment="1">
      <alignment vertical="center" wrapText="1"/>
    </xf>
    <xf numFmtId="10" fontId="10" fillId="4" borderId="1" xfId="0" applyNumberFormat="1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right" wrapText="1"/>
    </xf>
    <xf numFmtId="0" fontId="9" fillId="0" borderId="1" xfId="0" applyFont="1" applyBorder="1" applyAlignment="1">
      <alignment horizontal="right"/>
    </xf>
    <xf numFmtId="0" fontId="9" fillId="4" borderId="1" xfId="0" applyFont="1" applyFill="1" applyBorder="1" applyAlignment="1">
      <alignment horizontal="right" vertical="center" wrapText="1"/>
    </xf>
    <xf numFmtId="3" fontId="0" fillId="0" borderId="1" xfId="0" applyNumberFormat="1" applyBorder="1"/>
    <xf numFmtId="3" fontId="14" fillId="0" borderId="1" xfId="0" applyNumberFormat="1" applyFont="1" applyBorder="1"/>
    <xf numFmtId="3" fontId="14" fillId="0" borderId="8" xfId="0" applyNumberFormat="1" applyFont="1" applyBorder="1"/>
    <xf numFmtId="3" fontId="9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4" fillId="0" borderId="16" xfId="0" applyNumberFormat="1" applyFont="1" applyBorder="1"/>
    <xf numFmtId="3" fontId="14" fillId="4" borderId="16" xfId="0" applyNumberFormat="1" applyFont="1" applyFill="1" applyBorder="1"/>
    <xf numFmtId="10" fontId="0" fillId="4" borderId="16" xfId="0" applyNumberFormat="1" applyFill="1" applyBorder="1" applyAlignment="1">
      <alignment horizontal="center" vertical="center"/>
    </xf>
    <xf numFmtId="3" fontId="14" fillId="0" borderId="15" xfId="0" applyNumberFormat="1" applyFont="1" applyBorder="1"/>
    <xf numFmtId="3" fontId="14" fillId="0" borderId="15" xfId="0" applyNumberFormat="1" applyFont="1" applyFill="1" applyBorder="1" applyAlignment="1">
      <alignment horizontal="right" vertical="center" wrapText="1"/>
    </xf>
    <xf numFmtId="10" fontId="10" fillId="4" borderId="16" xfId="0" applyNumberFormat="1" applyFont="1" applyFill="1" applyBorder="1" applyAlignment="1">
      <alignment horizontal="center" vertical="center"/>
    </xf>
    <xf numFmtId="3" fontId="14" fillId="0" borderId="16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/>
    <xf numFmtId="10" fontId="13" fillId="0" borderId="16" xfId="0" applyNumberFormat="1" applyFont="1" applyBorder="1" applyAlignment="1">
      <alignment horizontal="center" vertical="center"/>
    </xf>
    <xf numFmtId="3" fontId="9" fillId="0" borderId="16" xfId="0" applyNumberFormat="1" applyFont="1" applyBorder="1"/>
    <xf numFmtId="0" fontId="0" fillId="0" borderId="0" xfId="0" applyAlignment="1">
      <alignment horizontal="right"/>
    </xf>
    <xf numFmtId="0" fontId="21" fillId="0" borderId="0" xfId="0" applyFont="1"/>
    <xf numFmtId="0" fontId="0" fillId="0" borderId="0" xfId="0" applyAlignment="1">
      <alignment horizontal="left"/>
    </xf>
    <xf numFmtId="3" fontId="3" fillId="0" borderId="0" xfId="0" applyNumberFormat="1" applyFont="1"/>
    <xf numFmtId="10" fontId="10" fillId="0" borderId="16" xfId="0" applyNumberFormat="1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4" fillId="0" borderId="4" xfId="0" applyFont="1" applyBorder="1" applyAlignment="1"/>
    <xf numFmtId="0" fontId="4" fillId="0" borderId="5" xfId="0" applyFont="1" applyBorder="1" applyAlignment="1"/>
    <xf numFmtId="0" fontId="4" fillId="0" borderId="0" xfId="0" applyFont="1" applyBorder="1" applyAlignment="1"/>
    <xf numFmtId="0" fontId="4" fillId="0" borderId="19" xfId="0" applyFont="1" applyBorder="1" applyAlignment="1"/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3" fontId="8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0" fontId="0" fillId="0" borderId="11" xfId="0" applyBorder="1"/>
    <xf numFmtId="3" fontId="26" fillId="4" borderId="1" xfId="0" applyNumberFormat="1" applyFont="1" applyFill="1" applyBorder="1" applyAlignment="1">
      <alignment vertical="center" wrapText="1"/>
    </xf>
    <xf numFmtId="3" fontId="13" fillId="4" borderId="1" xfId="0" applyNumberFormat="1" applyFont="1" applyFill="1" applyBorder="1" applyAlignment="1">
      <alignment vertical="center" wrapText="1"/>
    </xf>
    <xf numFmtId="10" fontId="0" fillId="4" borderId="1" xfId="0" applyNumberFormat="1" applyFont="1" applyFill="1" applyBorder="1"/>
    <xf numFmtId="3" fontId="26" fillId="4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0" fontId="0" fillId="0" borderId="7" xfId="0" applyBorder="1"/>
    <xf numFmtId="2" fontId="0" fillId="0" borderId="1" xfId="0" applyNumberFormat="1" applyBorder="1" applyAlignment="1">
      <alignment horizontal="center"/>
    </xf>
    <xf numFmtId="3" fontId="13" fillId="4" borderId="7" xfId="0" applyNumberFormat="1" applyFont="1" applyFill="1" applyBorder="1" applyAlignment="1">
      <alignment vertical="center" wrapText="1"/>
    </xf>
    <xf numFmtId="10" fontId="0" fillId="4" borderId="7" xfId="0" applyNumberFormat="1" applyFont="1" applyFill="1" applyBorder="1"/>
    <xf numFmtId="10" fontId="25" fillId="0" borderId="1" xfId="0" applyNumberFormat="1" applyFont="1" applyBorder="1" applyAlignment="1">
      <alignment horizontal="center" vertical="center"/>
    </xf>
    <xf numFmtId="3" fontId="27" fillId="4" borderId="16" xfId="0" applyNumberFormat="1" applyFont="1" applyFill="1" applyBorder="1" applyAlignment="1">
      <alignment vertical="center" wrapText="1"/>
    </xf>
    <xf numFmtId="3" fontId="13" fillId="4" borderId="16" xfId="0" applyNumberFormat="1" applyFont="1" applyFill="1" applyBorder="1" applyAlignment="1">
      <alignment vertical="center" wrapText="1"/>
    </xf>
    <xf numFmtId="0" fontId="0" fillId="0" borderId="14" xfId="0" applyBorder="1"/>
    <xf numFmtId="10" fontId="0" fillId="0" borderId="16" xfId="0" applyNumberFormat="1" applyFont="1" applyBorder="1"/>
    <xf numFmtId="10" fontId="0" fillId="0" borderId="0" xfId="0" applyNumberFormat="1"/>
    <xf numFmtId="2" fontId="0" fillId="0" borderId="16" xfId="0" applyNumberFormat="1" applyBorder="1" applyAlignment="1">
      <alignment horizontal="center"/>
    </xf>
    <xf numFmtId="0" fontId="29" fillId="4" borderId="0" xfId="0" applyFont="1" applyFill="1"/>
    <xf numFmtId="0" fontId="28" fillId="4" borderId="0" xfId="0" applyFont="1" applyFill="1" applyBorder="1" applyAlignment="1">
      <alignment vertical="center"/>
    </xf>
    <xf numFmtId="0" fontId="28" fillId="4" borderId="0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horizontal="center" vertical="center" wrapText="1"/>
    </xf>
    <xf numFmtId="0" fontId="29" fillId="4" borderId="0" xfId="0" applyFont="1" applyFill="1" applyBorder="1"/>
    <xf numFmtId="0" fontId="29" fillId="4" borderId="0" xfId="0" applyFont="1" applyFill="1" applyBorder="1" applyAlignment="1"/>
    <xf numFmtId="3" fontId="30" fillId="4" borderId="0" xfId="0" applyNumberFormat="1" applyFont="1" applyFill="1" applyBorder="1" applyAlignment="1">
      <alignment vertical="center" wrapText="1"/>
    </xf>
    <xf numFmtId="3" fontId="31" fillId="4" borderId="0" xfId="0" applyNumberFormat="1" applyFont="1" applyFill="1" applyBorder="1" applyAlignment="1">
      <alignment vertical="center" wrapText="1"/>
    </xf>
    <xf numFmtId="10" fontId="29" fillId="4" borderId="0" xfId="0" applyNumberFormat="1" applyFont="1" applyFill="1" applyBorder="1"/>
    <xf numFmtId="10" fontId="29" fillId="4" borderId="0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3" fontId="4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10" xfId="0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10" fillId="0" borderId="7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10" fillId="0" borderId="11" xfId="0" applyFont="1" applyFill="1" applyBorder="1" applyAlignment="1">
      <alignment horizontal="left" vertical="top" wrapText="1"/>
    </xf>
    <xf numFmtId="0" fontId="15" fillId="8" borderId="13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5" fillId="8" borderId="15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5" fillId="8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10" fillId="0" borderId="7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7" fillId="8" borderId="13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center" vertical="center" wrapText="1"/>
    </xf>
    <xf numFmtId="0" fontId="17" fillId="8" borderId="15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textRotation="255"/>
    </xf>
    <xf numFmtId="0" fontId="18" fillId="8" borderId="13" xfId="0" applyFont="1" applyFill="1" applyBorder="1" applyAlignment="1">
      <alignment horizontal="center" vertical="center" wrapText="1"/>
    </xf>
    <xf numFmtId="0" fontId="18" fillId="8" borderId="14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19" fillId="8" borderId="13" xfId="0" applyFont="1" applyFill="1" applyBorder="1" applyAlignment="1">
      <alignment horizontal="center" vertical="center" wrapText="1"/>
    </xf>
    <xf numFmtId="0" fontId="19" fillId="8" borderId="14" xfId="0" applyFont="1" applyFill="1" applyBorder="1" applyAlignment="1">
      <alignment horizontal="center" vertical="center" wrapText="1"/>
    </xf>
    <xf numFmtId="0" fontId="19" fillId="8" borderId="15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wrapText="1"/>
    </xf>
    <xf numFmtId="0" fontId="0" fillId="7" borderId="6" xfId="0" applyFill="1" applyBorder="1" applyAlignment="1">
      <alignment horizontal="center" wrapText="1"/>
    </xf>
    <xf numFmtId="0" fontId="0" fillId="7" borderId="3" xfId="0" applyFill="1" applyBorder="1" applyAlignment="1">
      <alignment horizontal="center" wrapText="1"/>
    </xf>
    <xf numFmtId="0" fontId="0" fillId="7" borderId="5" xfId="0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15" fillId="8" borderId="13" xfId="0" applyFont="1" applyFill="1" applyBorder="1" applyAlignment="1">
      <alignment horizontal="left" vertical="center" wrapText="1"/>
    </xf>
    <xf numFmtId="0" fontId="15" fillId="8" borderId="14" xfId="0" applyFont="1" applyFill="1" applyBorder="1" applyAlignment="1">
      <alignment horizontal="left" vertical="center" wrapText="1"/>
    </xf>
    <xf numFmtId="0" fontId="15" fillId="8" borderId="15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7" fillId="8" borderId="13" xfId="0" applyFont="1" applyFill="1" applyBorder="1" applyAlignment="1">
      <alignment horizontal="left" vertical="center" wrapText="1"/>
    </xf>
    <xf numFmtId="0" fontId="17" fillId="8" borderId="14" xfId="0" applyFont="1" applyFill="1" applyBorder="1" applyAlignment="1">
      <alignment horizontal="left" vertical="center" wrapText="1"/>
    </xf>
    <xf numFmtId="0" fontId="17" fillId="8" borderId="15" xfId="0" applyFont="1" applyFill="1" applyBorder="1" applyAlignment="1">
      <alignment horizontal="left" vertical="center" wrapText="1"/>
    </xf>
    <xf numFmtId="0" fontId="25" fillId="0" borderId="8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10" fillId="4" borderId="8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left" vertical="center"/>
    </xf>
    <xf numFmtId="0" fontId="29" fillId="4" borderId="0" xfId="0" applyFont="1" applyFill="1" applyBorder="1" applyAlignment="1">
      <alignment horizontal="center"/>
    </xf>
    <xf numFmtId="0" fontId="28" fillId="4" borderId="0" xfId="0" applyFont="1" applyFill="1" applyBorder="1" applyAlignment="1">
      <alignment horizontal="center" vertical="center"/>
    </xf>
    <xf numFmtId="0" fontId="29" fillId="4" borderId="0" xfId="0" applyFont="1" applyFill="1" applyBorder="1" applyAlignment="1">
      <alignment horizontal="left"/>
    </xf>
    <xf numFmtId="0" fontId="29" fillId="4" borderId="0" xfId="0" applyFont="1" applyFill="1" applyBorder="1" applyAlignment="1">
      <alignment horizontal="left" vertical="center"/>
    </xf>
  </cellXfs>
  <cellStyles count="15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eutral" xfId="1" builtinId="28"/>
    <cellStyle name="Normal" xfId="0" builtinId="0"/>
    <cellStyle name="Normal 2" xfId="9"/>
    <cellStyle name="Normal 2 2" xfId="10"/>
    <cellStyle name="Normal 2 2 2" xfId="11"/>
    <cellStyle name="Normal 3" xfId="12"/>
    <cellStyle name="Normal 4" xfId="13"/>
    <cellStyle name="TableStyleLight1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 sz="1800" b="1" i="0" baseline="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EJECUCION PLAN DE ACCION ACUMULADO A 30 DE JUNIO DE 2016 POR SUBSISTEMAS</a:t>
            </a:r>
            <a:endParaRPr lang="es-CO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rich>
      </c:tx>
      <c:layout>
        <c:manualLayout>
          <c:xMode val="edge"/>
          <c:yMode val="edge"/>
          <c:x val="0.18012767138495697"/>
          <c:y val="1.8458632703326977E-3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4424091035248403E-2"/>
          <c:y val="0.11900270975042221"/>
          <c:w val="0.97557590896475155"/>
          <c:h val="0.7413487495586552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ACCION A JUNIO (3)'!$DP$3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4407438245906193E-3"/>
                  <c:y val="-1.728795245813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50929780738274E-3"/>
                  <c:y val="-1.9448946515397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873161254510131E-2"/>
                  <c:y val="-8.64397622906537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1.9448946515397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50929780738274E-3"/>
                  <c:y val="-1.728795245813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ACCION A JUNIO (3)'!$DP$4:$DP$128</c:f>
              <c:numCache>
                <c:formatCode>#,##0</c:formatCode>
                <c:ptCount val="5"/>
                <c:pt idx="0">
                  <c:v>1381230977</c:v>
                </c:pt>
                <c:pt idx="1">
                  <c:v>4334106780</c:v>
                </c:pt>
                <c:pt idx="2">
                  <c:v>1600540286</c:v>
                </c:pt>
                <c:pt idx="3">
                  <c:v>2524365485</c:v>
                </c:pt>
                <c:pt idx="4">
                  <c:v>12163347921</c:v>
                </c:pt>
              </c:numCache>
            </c:numRef>
          </c:val>
        </c:ser>
        <c:ser>
          <c:idx val="1"/>
          <c:order val="1"/>
          <c:tx>
            <c:strRef>
              <c:f>'P. ACCION A JUNIO (3)'!$DQ$3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31390507910075E-2"/>
                  <c:y val="-6.48298217179902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195392728281987E-2"/>
                  <c:y val="-6.48298217179902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8648348598390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195392728282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195392728281987E-2"/>
                  <c:y val="-1.2965964343598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ACCION A JUNIO (3)'!$DQ$4:$DQ$128</c:f>
              <c:numCache>
                <c:formatCode>#,##0</c:formatCode>
                <c:ptCount val="5"/>
                <c:pt idx="0">
                  <c:v>616176877</c:v>
                </c:pt>
                <c:pt idx="1">
                  <c:v>2231159345</c:v>
                </c:pt>
                <c:pt idx="2">
                  <c:v>922449293</c:v>
                </c:pt>
                <c:pt idx="3">
                  <c:v>1932480606</c:v>
                </c:pt>
                <c:pt idx="4">
                  <c:v>3055104832</c:v>
                </c:pt>
              </c:numCache>
            </c:numRef>
          </c:val>
        </c:ser>
        <c:ser>
          <c:idx val="2"/>
          <c:order val="2"/>
          <c:tx>
            <c:strRef>
              <c:f>'P. ACCION A JUNIO (3)'!$DR$3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9833472106577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644462947543714E-2"/>
                  <c:y val="-6.48298217179902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9833472106577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8648348598390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873161254510131E-2"/>
                  <c:y val="-8.64397622906537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ACCION A JUNIO (3)'!$DR$4:$DR$128</c:f>
              <c:numCache>
                <c:formatCode>0.00%</c:formatCode>
                <c:ptCount val="5"/>
                <c:pt idx="0">
                  <c:v>0.4461</c:v>
                </c:pt>
                <c:pt idx="1">
                  <c:v>0.51480000000000004</c:v>
                </c:pt>
                <c:pt idx="2">
                  <c:v>0.57630000000000003</c:v>
                </c:pt>
                <c:pt idx="3">
                  <c:v>0.76549999999999996</c:v>
                </c:pt>
                <c:pt idx="4">
                  <c:v>0.25119999999999998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6874752"/>
        <c:axId val="86892928"/>
        <c:axId val="0"/>
      </c:bar3DChart>
      <c:catAx>
        <c:axId val="86874752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86892928"/>
        <c:crosses val="autoZero"/>
        <c:auto val="1"/>
        <c:lblAlgn val="ctr"/>
        <c:lblOffset val="100"/>
        <c:noMultiLvlLbl val="0"/>
      </c:catAx>
      <c:valAx>
        <c:axId val="8689292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8687475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4656185462246025"/>
          <c:y val="0.91192145127732349"/>
          <c:w val="0.24026504597000312"/>
          <c:h val="8.8078521434820645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 sz="1800" b="1" i="0" baseline="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EJECUCION PLAN DE ACCION ACUMULADO A 30 DE JUNIO DE 2016 POR RUBROS PRESUPUESTALES</a:t>
            </a:r>
            <a:endParaRPr lang="es-CO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ACCION A JUNIO (3)'!$DO$132</c:f>
              <c:strCache>
                <c:ptCount val="1"/>
              </c:strCache>
            </c:strRef>
          </c:tx>
          <c:invertIfNegative val="0"/>
          <c:cat>
            <c:strRef>
              <c:f>'P. ACCION A JUNIO (3)'!$DN$133:$DN$140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 JUNIO (3)'!$DO$133:$DO$140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tx>
            <c:strRef>
              <c:f>'P. ACCION A JUNIO (3)'!$DP$132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3722871452420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37228714524207E-2"/>
                  <c:y val="2.9207743409743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38898163606014E-2"/>
                  <c:y val="8.7623230229232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1163049526989426E-2"/>
                  <c:y val="-2.92077434097444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03338898163606E-2"/>
                  <c:y val="-1.1683097363897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78074568725653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0050083472454091E-2"/>
                  <c:y val="-8.7623230229232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711185308848081E-2"/>
                  <c:y val="-5.84154868194883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 JUNIO (3)'!$DP$133:$DP$140</c:f>
              <c:numCache>
                <c:formatCode>#,##0</c:formatCode>
                <c:ptCount val="8"/>
                <c:pt idx="0">
                  <c:v>4036201186</c:v>
                </c:pt>
                <c:pt idx="1">
                  <c:v>4274978639</c:v>
                </c:pt>
                <c:pt idx="2">
                  <c:v>1077368096</c:v>
                </c:pt>
                <c:pt idx="3">
                  <c:v>4334106780</c:v>
                </c:pt>
                <c:pt idx="4">
                  <c:v>971030977</c:v>
                </c:pt>
                <c:pt idx="5">
                  <c:v>1600540286</c:v>
                </c:pt>
                <c:pt idx="6">
                  <c:v>3185000000</c:v>
                </c:pt>
                <c:pt idx="7">
                  <c:v>2524365485</c:v>
                </c:pt>
              </c:numCache>
            </c:numRef>
          </c:val>
        </c:ser>
        <c:ser>
          <c:idx val="2"/>
          <c:order val="2"/>
          <c:tx>
            <c:strRef>
              <c:f>'P. ACCION A JUNIO (3)'!$DQ$132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59821925431274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89538119087367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721347694007221E-2"/>
                  <c:y val="-1.4603871704872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8241513633834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050083472454171E-2"/>
                  <c:y val="2.92077434097441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67111853088480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3388981636060099E-2"/>
                  <c:y val="-5.84154868194883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 JUNIO (3)'!$DQ$133:$DQ$140</c:f>
              <c:numCache>
                <c:formatCode>#,##0</c:formatCode>
                <c:ptCount val="8"/>
                <c:pt idx="0">
                  <c:v>803158266</c:v>
                </c:pt>
                <c:pt idx="1">
                  <c:v>1111103130</c:v>
                </c:pt>
                <c:pt idx="2">
                  <c:v>293578780</c:v>
                </c:pt>
                <c:pt idx="3">
                  <c:v>2231159345</c:v>
                </c:pt>
                <c:pt idx="4">
                  <c:v>651382095</c:v>
                </c:pt>
                <c:pt idx="5">
                  <c:v>922449293</c:v>
                </c:pt>
                <c:pt idx="6">
                  <c:v>812059438</c:v>
                </c:pt>
                <c:pt idx="7">
                  <c:v>1932480606</c:v>
                </c:pt>
              </c:numCache>
            </c:numRef>
          </c:val>
        </c:ser>
        <c:ser>
          <c:idx val="3"/>
          <c:order val="3"/>
          <c:tx>
            <c:strRef>
              <c:f>'P. ACCION A JUNIO (3)'!$DR$132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581524763494713E-2"/>
                  <c:y val="2.92077434097441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033388981636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198011599005801E-2"/>
                  <c:y val="-2.92077434097430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198011599005801E-2"/>
                  <c:y val="1.070938220120913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201201651781927E-2"/>
                  <c:y val="2.92077434097452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619870527783113E-2"/>
                  <c:y val="1.070938220120913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3322482369902604E-2"/>
                  <c:y val="2.92077434097452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03338898163606E-2"/>
                  <c:y val="-8.7623230229231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 JUNIO (3)'!$DN$133:$DN$140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 JUNIO (3)'!$DR$133:$DR$140</c:f>
              <c:numCache>
                <c:formatCode>0.00%</c:formatCode>
                <c:ptCount val="8"/>
                <c:pt idx="0">
                  <c:v>0.19900000000000001</c:v>
                </c:pt>
                <c:pt idx="1">
                  <c:v>0.25990000000000002</c:v>
                </c:pt>
                <c:pt idx="2">
                  <c:v>0.27250000000000002</c:v>
                </c:pt>
                <c:pt idx="3">
                  <c:v>0.51480000000000004</c:v>
                </c:pt>
                <c:pt idx="4">
                  <c:v>0.67079999999999995</c:v>
                </c:pt>
                <c:pt idx="5">
                  <c:v>0.57630000000000003</c:v>
                </c:pt>
                <c:pt idx="6">
                  <c:v>0.255</c:v>
                </c:pt>
                <c:pt idx="7">
                  <c:v>0.76549999999999996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032576"/>
        <c:axId val="87034112"/>
        <c:axId val="0"/>
      </c:bar3DChart>
      <c:catAx>
        <c:axId val="87032576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87034112"/>
        <c:crosses val="autoZero"/>
        <c:auto val="1"/>
        <c:lblAlgn val="ctr"/>
        <c:lblOffset val="100"/>
        <c:noMultiLvlLbl val="0"/>
      </c:catAx>
      <c:valAx>
        <c:axId val="87034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8703257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156</xdr:row>
      <xdr:rowOff>95250</xdr:rowOff>
    </xdr:from>
    <xdr:to>
      <xdr:col>95</xdr:col>
      <xdr:colOff>114300</xdr:colOff>
      <xdr:row>187</xdr:row>
      <xdr:rowOff>66675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142875</xdr:colOff>
      <xdr:row>188</xdr:row>
      <xdr:rowOff>180975</xdr:rowOff>
    </xdr:from>
    <xdr:to>
      <xdr:col>95</xdr:col>
      <xdr:colOff>133350</xdr:colOff>
      <xdr:row>211</xdr:row>
      <xdr:rowOff>147637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31">
          <cell r="M31">
            <v>690623210</v>
          </cell>
          <cell r="N31">
            <v>32964600</v>
          </cell>
          <cell r="AG31">
            <v>8700000</v>
          </cell>
        </row>
        <row r="33">
          <cell r="H33">
            <v>86271560</v>
          </cell>
        </row>
        <row r="36">
          <cell r="H36">
            <v>21445252</v>
          </cell>
        </row>
        <row r="38">
          <cell r="H38">
            <v>50290520</v>
          </cell>
        </row>
        <row r="41">
          <cell r="H41">
            <v>9145660</v>
          </cell>
        </row>
        <row r="43">
          <cell r="H43">
            <v>75866675</v>
          </cell>
        </row>
        <row r="48">
          <cell r="H48">
            <v>92605321</v>
          </cell>
        </row>
        <row r="50">
          <cell r="H50">
            <v>10064700</v>
          </cell>
        </row>
        <row r="53">
          <cell r="H53">
            <v>2338000</v>
          </cell>
        </row>
        <row r="54">
          <cell r="H54">
            <v>138162268</v>
          </cell>
        </row>
        <row r="56">
          <cell r="H56">
            <v>30710300</v>
          </cell>
        </row>
        <row r="58">
          <cell r="H58">
            <v>392000</v>
          </cell>
        </row>
        <row r="67">
          <cell r="H67">
            <v>2900000</v>
          </cell>
        </row>
        <row r="70">
          <cell r="H70">
            <v>11738040</v>
          </cell>
        </row>
        <row r="84">
          <cell r="H84">
            <v>299045680</v>
          </cell>
        </row>
        <row r="86">
          <cell r="H86">
            <v>50843120</v>
          </cell>
        </row>
        <row r="90">
          <cell r="H90">
            <v>88746867</v>
          </cell>
        </row>
        <row r="92">
          <cell r="H92">
            <v>63336000</v>
          </cell>
        </row>
        <row r="95">
          <cell r="H95">
            <v>2780000</v>
          </cell>
        </row>
        <row r="96">
          <cell r="H96">
            <v>1183200</v>
          </cell>
        </row>
        <row r="98">
          <cell r="H98">
            <v>83930524</v>
          </cell>
        </row>
        <row r="104">
          <cell r="H104">
            <v>20532000</v>
          </cell>
        </row>
        <row r="108">
          <cell r="H108">
            <v>4605084</v>
          </cell>
        </row>
        <row r="111">
          <cell r="H111">
            <v>37459764</v>
          </cell>
        </row>
        <row r="115">
          <cell r="M115">
            <v>116162872</v>
          </cell>
        </row>
        <row r="140">
          <cell r="AG140">
            <v>28339176</v>
          </cell>
        </row>
        <row r="144">
          <cell r="H144">
            <v>17103000</v>
          </cell>
        </row>
        <row r="146">
          <cell r="H146">
            <v>7221000</v>
          </cell>
        </row>
        <row r="148">
          <cell r="H148">
            <v>12000000</v>
          </cell>
        </row>
        <row r="150">
          <cell r="H150">
            <v>8000000</v>
          </cell>
        </row>
        <row r="152">
          <cell r="H152">
            <v>2210000</v>
          </cell>
        </row>
        <row r="153">
          <cell r="H153">
            <v>35541154</v>
          </cell>
        </row>
        <row r="157">
          <cell r="H157">
            <v>5997020</v>
          </cell>
        </row>
        <row r="159">
          <cell r="H159">
            <v>2342156</v>
          </cell>
        </row>
        <row r="161">
          <cell r="H161">
            <v>5726200</v>
          </cell>
        </row>
        <row r="163">
          <cell r="AG163">
            <v>10872928</v>
          </cell>
        </row>
        <row r="177">
          <cell r="H177">
            <v>2894345</v>
          </cell>
        </row>
        <row r="179">
          <cell r="AG179">
            <v>2894345</v>
          </cell>
        </row>
        <row r="187">
          <cell r="M187">
            <v>189929329</v>
          </cell>
        </row>
        <row r="195">
          <cell r="H195">
            <v>113924726</v>
          </cell>
        </row>
        <row r="197">
          <cell r="W197">
            <v>250000000</v>
          </cell>
        </row>
        <row r="264">
          <cell r="M264">
            <v>43664537</v>
          </cell>
          <cell r="O264">
            <v>70926559</v>
          </cell>
          <cell r="AG264">
            <v>10610501</v>
          </cell>
        </row>
        <row r="333">
          <cell r="H333">
            <v>2183738</v>
          </cell>
        </row>
        <row r="359">
          <cell r="H359">
            <v>1652640</v>
          </cell>
        </row>
        <row r="363">
          <cell r="H363">
            <v>500000</v>
          </cell>
        </row>
        <row r="366">
          <cell r="H366">
            <v>1740000</v>
          </cell>
        </row>
        <row r="374">
          <cell r="H374">
            <v>963495</v>
          </cell>
        </row>
        <row r="382">
          <cell r="H382">
            <v>919964</v>
          </cell>
        </row>
        <row r="384">
          <cell r="H384">
            <v>2595000</v>
          </cell>
        </row>
        <row r="388">
          <cell r="O388">
            <v>15000000</v>
          </cell>
        </row>
        <row r="399">
          <cell r="O399">
            <v>10000000</v>
          </cell>
        </row>
        <row r="405">
          <cell r="H405">
            <v>55755953</v>
          </cell>
        </row>
        <row r="407">
          <cell r="O407">
            <v>134003087</v>
          </cell>
          <cell r="AG407">
            <v>870000</v>
          </cell>
        </row>
        <row r="439">
          <cell r="H439">
            <v>870000</v>
          </cell>
        </row>
        <row r="447">
          <cell r="H447">
            <v>20610152</v>
          </cell>
        </row>
        <row r="449">
          <cell r="Z449">
            <v>28584000</v>
          </cell>
        </row>
        <row r="461">
          <cell r="Z461">
            <v>55000000</v>
          </cell>
        </row>
        <row r="482">
          <cell r="H482">
            <v>13578862</v>
          </cell>
        </row>
        <row r="484">
          <cell r="Z484">
            <v>2000000</v>
          </cell>
          <cell r="AG484">
            <v>12354862</v>
          </cell>
        </row>
        <row r="511">
          <cell r="H511">
            <v>49952466</v>
          </cell>
        </row>
        <row r="539">
          <cell r="H539">
            <v>10997750</v>
          </cell>
        </row>
        <row r="547">
          <cell r="H547">
            <v>216275039</v>
          </cell>
        </row>
        <row r="549">
          <cell r="Z549">
            <v>223456873</v>
          </cell>
        </row>
        <row r="582">
          <cell r="H582">
            <v>136472082</v>
          </cell>
        </row>
        <row r="584">
          <cell r="Z584">
            <v>134185102</v>
          </cell>
          <cell r="AG584">
            <v>4700000</v>
          </cell>
        </row>
        <row r="602">
          <cell r="AG602">
            <v>700000</v>
          </cell>
        </row>
        <row r="603">
          <cell r="H603">
            <v>1000000</v>
          </cell>
        </row>
        <row r="611">
          <cell r="AG611">
            <v>1000000</v>
          </cell>
        </row>
        <row r="621">
          <cell r="H621">
            <v>906480</v>
          </cell>
        </row>
        <row r="626">
          <cell r="Z626">
            <v>17580000</v>
          </cell>
          <cell r="AG626">
            <v>1840000</v>
          </cell>
        </row>
        <row r="627">
          <cell r="H627">
            <v>1400000</v>
          </cell>
        </row>
        <row r="628">
          <cell r="H628">
            <v>240000</v>
          </cell>
        </row>
        <row r="629">
          <cell r="H629">
            <v>17580000</v>
          </cell>
        </row>
        <row r="631">
          <cell r="H631">
            <v>200000</v>
          </cell>
        </row>
        <row r="658">
          <cell r="H658">
            <v>84458115</v>
          </cell>
        </row>
        <row r="711">
          <cell r="H711">
            <v>62221356</v>
          </cell>
        </row>
        <row r="713">
          <cell r="M713">
            <v>128482252</v>
          </cell>
        </row>
        <row r="732">
          <cell r="H732">
            <v>129326415</v>
          </cell>
        </row>
        <row r="781">
          <cell r="H781">
            <v>15620000</v>
          </cell>
        </row>
        <row r="791">
          <cell r="H791">
            <v>56880951</v>
          </cell>
        </row>
        <row r="793">
          <cell r="Y793">
            <v>78946451</v>
          </cell>
        </row>
        <row r="833">
          <cell r="H833">
            <v>78837499</v>
          </cell>
        </row>
        <row r="835">
          <cell r="Y835">
            <v>78837499</v>
          </cell>
        </row>
        <row r="859">
          <cell r="H859">
            <v>5933631</v>
          </cell>
        </row>
        <row r="861">
          <cell r="AG861">
            <v>5933631</v>
          </cell>
        </row>
        <row r="874">
          <cell r="H874">
            <v>92224513</v>
          </cell>
        </row>
        <row r="909">
          <cell r="H909">
            <v>15474372</v>
          </cell>
        </row>
        <row r="911">
          <cell r="Y911">
            <v>17234372</v>
          </cell>
        </row>
        <row r="932">
          <cell r="Y932">
            <v>4563208</v>
          </cell>
        </row>
        <row r="951">
          <cell r="H951">
            <v>105000000</v>
          </cell>
        </row>
        <row r="953">
          <cell r="Y953">
            <v>105000000</v>
          </cell>
        </row>
        <row r="977">
          <cell r="H977">
            <v>109080442</v>
          </cell>
        </row>
        <row r="979">
          <cell r="W979">
            <v>109080442</v>
          </cell>
        </row>
        <row r="1026">
          <cell r="H1026">
            <v>56963823</v>
          </cell>
        </row>
        <row r="1028">
          <cell r="W1028">
            <v>7654735</v>
          </cell>
          <cell r="Y1028">
            <v>41895406</v>
          </cell>
        </row>
        <row r="1031">
          <cell r="H1031">
            <v>1922074</v>
          </cell>
        </row>
        <row r="1044">
          <cell r="H1044">
            <v>2600000</v>
          </cell>
        </row>
        <row r="1046">
          <cell r="H1046">
            <v>2984657</v>
          </cell>
        </row>
        <row r="1047">
          <cell r="H1047">
            <v>3448100</v>
          </cell>
        </row>
        <row r="1049">
          <cell r="H1049">
            <v>700000</v>
          </cell>
        </row>
        <row r="1053">
          <cell r="H1053">
            <v>380000</v>
          </cell>
        </row>
        <row r="1063">
          <cell r="AF1063">
            <v>9580000</v>
          </cell>
        </row>
        <row r="1079">
          <cell r="H1079">
            <v>736592397</v>
          </cell>
        </row>
        <row r="1217">
          <cell r="Y1217">
            <v>78388870</v>
          </cell>
        </row>
        <row r="1303">
          <cell r="AG1303">
            <v>3000000</v>
          </cell>
        </row>
        <row r="1317">
          <cell r="H1317">
            <v>30000000</v>
          </cell>
        </row>
        <row r="1385">
          <cell r="H1385">
            <v>8024312</v>
          </cell>
        </row>
        <row r="1437">
          <cell r="H1437">
            <v>13705028</v>
          </cell>
        </row>
        <row r="1439">
          <cell r="Y1439">
            <v>18178361</v>
          </cell>
        </row>
        <row r="1454">
          <cell r="H1454">
            <v>7000000</v>
          </cell>
        </row>
        <row r="1467">
          <cell r="H1467">
            <v>19790598</v>
          </cell>
        </row>
        <row r="1488">
          <cell r="H1488">
            <v>21089997</v>
          </cell>
        </row>
        <row r="1494">
          <cell r="H1494">
            <v>14910001</v>
          </cell>
        </row>
        <row r="1519">
          <cell r="H1519">
            <v>20900000</v>
          </cell>
        </row>
        <row r="1521">
          <cell r="H1521">
            <v>20900000</v>
          </cell>
        </row>
        <row r="1523">
          <cell r="H1523">
            <v>26400007</v>
          </cell>
        </row>
        <row r="1525">
          <cell r="H1525">
            <v>14980000</v>
          </cell>
        </row>
        <row r="1531">
          <cell r="H1531">
            <v>1218300</v>
          </cell>
        </row>
        <row r="1533">
          <cell r="H1533">
            <v>274000</v>
          </cell>
        </row>
        <row r="1547">
          <cell r="H1547">
            <v>53687553</v>
          </cell>
        </row>
        <row r="1564">
          <cell r="H1564">
            <v>5098964</v>
          </cell>
        </row>
        <row r="1577">
          <cell r="G1577">
            <v>48827258</v>
          </cell>
          <cell r="H1577">
            <v>44832044</v>
          </cell>
        </row>
        <row r="1629">
          <cell r="O1629">
            <v>30800000</v>
          </cell>
        </row>
        <row r="1662">
          <cell r="H1662">
            <v>51543600</v>
          </cell>
        </row>
        <row r="1664">
          <cell r="O1664">
            <v>76468000</v>
          </cell>
        </row>
        <row r="1677">
          <cell r="O1677">
            <v>96500000</v>
          </cell>
        </row>
        <row r="1713">
          <cell r="O1713">
            <v>95759296</v>
          </cell>
        </row>
        <row r="1742">
          <cell r="H1742">
            <v>4500000</v>
          </cell>
        </row>
        <row r="1748">
          <cell r="H1748">
            <v>1038938</v>
          </cell>
        </row>
        <row r="1749">
          <cell r="H1749">
            <v>605268</v>
          </cell>
        </row>
        <row r="1752">
          <cell r="H1752">
            <v>2664988</v>
          </cell>
        </row>
        <row r="1753">
          <cell r="H1753">
            <v>780000</v>
          </cell>
        </row>
        <row r="1757">
          <cell r="H1757">
            <v>1620000</v>
          </cell>
        </row>
        <row r="1758">
          <cell r="H1758">
            <v>1500000</v>
          </cell>
        </row>
        <row r="1759">
          <cell r="H1759">
            <v>1926427</v>
          </cell>
        </row>
        <row r="1760">
          <cell r="H1760">
            <v>1780000</v>
          </cell>
        </row>
        <row r="1761">
          <cell r="H1761">
            <v>435938</v>
          </cell>
        </row>
        <row r="1765">
          <cell r="H1765">
            <v>693230</v>
          </cell>
        </row>
        <row r="1766">
          <cell r="H1766">
            <v>348000</v>
          </cell>
        </row>
        <row r="1767">
          <cell r="H1767">
            <v>728068</v>
          </cell>
        </row>
        <row r="1768">
          <cell r="H1768">
            <v>150000</v>
          </cell>
        </row>
        <row r="1769">
          <cell r="H1769">
            <v>1000000</v>
          </cell>
        </row>
        <row r="1770">
          <cell r="H1770">
            <v>1632256</v>
          </cell>
        </row>
        <row r="1772">
          <cell r="H1772">
            <v>1000000</v>
          </cell>
        </row>
        <row r="1773">
          <cell r="H1773">
            <v>480000</v>
          </cell>
        </row>
        <row r="1774">
          <cell r="H1774">
            <v>240000</v>
          </cell>
        </row>
        <row r="1775">
          <cell r="H1775">
            <v>240000</v>
          </cell>
        </row>
        <row r="1776">
          <cell r="H1776">
            <v>849522</v>
          </cell>
        </row>
        <row r="1784">
          <cell r="G1784">
            <v>3000000</v>
          </cell>
          <cell r="H1784">
            <v>3000000</v>
          </cell>
        </row>
        <row r="1796">
          <cell r="H1796">
            <v>16614042</v>
          </cell>
        </row>
        <row r="1825">
          <cell r="O1825">
            <v>47273440</v>
          </cell>
        </row>
        <row r="1834">
          <cell r="O1834">
            <v>75081529</v>
          </cell>
          <cell r="V1834">
            <v>196388655</v>
          </cell>
        </row>
        <row r="1835">
          <cell r="H1835">
            <v>22390416</v>
          </cell>
        </row>
        <row r="1845">
          <cell r="H1845">
            <v>58318855</v>
          </cell>
        </row>
        <row r="1856">
          <cell r="H1856">
            <v>68826667</v>
          </cell>
        </row>
        <row r="1864">
          <cell r="H1864">
            <v>2049168</v>
          </cell>
        </row>
        <row r="1866">
          <cell r="H1866">
            <v>344420</v>
          </cell>
        </row>
        <row r="1867">
          <cell r="H1867">
            <v>1054584</v>
          </cell>
        </row>
        <row r="1868">
          <cell r="H1868">
            <v>1412000</v>
          </cell>
        </row>
        <row r="1869">
          <cell r="H1869">
            <v>2652268</v>
          </cell>
        </row>
        <row r="1870">
          <cell r="H1870">
            <v>5053996</v>
          </cell>
        </row>
        <row r="1873">
          <cell r="H1873">
            <v>800000</v>
          </cell>
        </row>
        <row r="1874">
          <cell r="H1874">
            <v>9232200</v>
          </cell>
        </row>
        <row r="1875">
          <cell r="H1875">
            <v>1500000</v>
          </cell>
        </row>
        <row r="1876">
          <cell r="H1876">
            <v>5000000</v>
          </cell>
        </row>
        <row r="1877">
          <cell r="H1877">
            <v>1920000</v>
          </cell>
        </row>
        <row r="1878">
          <cell r="H1878">
            <v>4000000</v>
          </cell>
        </row>
        <row r="1879">
          <cell r="H1879">
            <v>488436</v>
          </cell>
        </row>
        <row r="1881">
          <cell r="H1881">
            <v>227082</v>
          </cell>
        </row>
        <row r="1882">
          <cell r="H1882">
            <v>2392400</v>
          </cell>
        </row>
        <row r="1885">
          <cell r="H1885">
            <v>2170000</v>
          </cell>
        </row>
        <row r="1886">
          <cell r="H1886">
            <v>1452000</v>
          </cell>
        </row>
        <row r="1887">
          <cell r="H1887">
            <v>2156872</v>
          </cell>
        </row>
        <row r="1888">
          <cell r="H1888">
            <v>1507040</v>
          </cell>
        </row>
        <row r="1901">
          <cell r="H1901">
            <v>1675000</v>
          </cell>
        </row>
        <row r="1902">
          <cell r="H1902">
            <v>500000</v>
          </cell>
        </row>
        <row r="1906">
          <cell r="H1906">
            <v>29000000</v>
          </cell>
        </row>
        <row r="1912">
          <cell r="H1912">
            <v>414218</v>
          </cell>
        </row>
        <row r="1913">
          <cell r="H1913">
            <v>5259000</v>
          </cell>
        </row>
        <row r="1916">
          <cell r="H1916">
            <v>5165953</v>
          </cell>
        </row>
        <row r="1918">
          <cell r="AG1918">
            <v>8000000</v>
          </cell>
        </row>
        <row r="1951">
          <cell r="H1951">
            <v>246106171</v>
          </cell>
        </row>
        <row r="1953">
          <cell r="AG1953">
            <v>356059896</v>
          </cell>
        </row>
        <row r="2068">
          <cell r="G2068">
            <v>2199005</v>
          </cell>
          <cell r="H2068">
            <v>2199005</v>
          </cell>
        </row>
        <row r="2080">
          <cell r="O2080">
            <v>3880000</v>
          </cell>
        </row>
        <row r="2109">
          <cell r="W2109">
            <v>4188032</v>
          </cell>
        </row>
        <row r="2112">
          <cell r="H2112">
            <v>206923</v>
          </cell>
        </row>
        <row r="2113">
          <cell r="H2113">
            <v>171109</v>
          </cell>
        </row>
        <row r="2114">
          <cell r="H2114">
            <v>1400000</v>
          </cell>
        </row>
        <row r="2117">
          <cell r="H2117">
            <v>1300000</v>
          </cell>
        </row>
        <row r="2154">
          <cell r="H2154">
            <v>245879683</v>
          </cell>
        </row>
        <row r="2157">
          <cell r="H2157">
            <v>33050686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419">
          <cell r="H419">
            <v>48030490</v>
          </cell>
        </row>
        <row r="552">
          <cell r="H552">
            <v>28956340</v>
          </cell>
        </row>
        <row r="622">
          <cell r="H622">
            <v>100000000</v>
          </cell>
        </row>
        <row r="724">
          <cell r="Y724">
            <v>16905130</v>
          </cell>
        </row>
        <row r="777">
          <cell r="H777">
            <v>46391267</v>
          </cell>
        </row>
        <row r="817">
          <cell r="M817">
            <v>11831904</v>
          </cell>
        </row>
        <row r="846">
          <cell r="AF846">
            <v>16000000</v>
          </cell>
        </row>
        <row r="867">
          <cell r="O867">
            <v>36000000</v>
          </cell>
        </row>
        <row r="878">
          <cell r="O878">
            <v>10000000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31">
          <cell r="U31">
            <v>49856575</v>
          </cell>
        </row>
        <row r="58">
          <cell r="N58">
            <v>19256000</v>
          </cell>
        </row>
        <row r="62">
          <cell r="H62">
            <v>30000000</v>
          </cell>
        </row>
        <row r="75">
          <cell r="M75">
            <v>884486456</v>
          </cell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107">
          <cell r="H107">
            <v>46638552</v>
          </cell>
        </row>
        <row r="116">
          <cell r="H116">
            <v>9767200</v>
          </cell>
        </row>
        <row r="118">
          <cell r="H118">
            <v>9860000</v>
          </cell>
        </row>
        <row r="122">
          <cell r="M122">
            <v>179966000</v>
          </cell>
        </row>
        <row r="129">
          <cell r="M129">
            <v>294809318</v>
          </cell>
        </row>
        <row r="166">
          <cell r="H166">
            <v>51402400</v>
          </cell>
        </row>
        <row r="206">
          <cell r="H206">
            <v>2477100</v>
          </cell>
        </row>
        <row r="207">
          <cell r="H207">
            <v>2000000</v>
          </cell>
        </row>
        <row r="209">
          <cell r="H209">
            <v>101578394</v>
          </cell>
        </row>
        <row r="383">
          <cell r="H383">
            <v>21575587</v>
          </cell>
        </row>
        <row r="396">
          <cell r="H396">
            <v>19305411</v>
          </cell>
        </row>
        <row r="398">
          <cell r="Z398">
            <v>19438236</v>
          </cell>
        </row>
        <row r="416">
          <cell r="H416">
            <v>33881302</v>
          </cell>
        </row>
        <row r="599">
          <cell r="H599">
            <v>30058973</v>
          </cell>
        </row>
        <row r="601">
          <cell r="Y601">
            <v>30058973</v>
          </cell>
        </row>
        <row r="808">
          <cell r="H808">
            <v>4087144</v>
          </cell>
        </row>
        <row r="900">
          <cell r="AG900">
            <v>12034831</v>
          </cell>
        </row>
        <row r="901">
          <cell r="H901">
            <v>2142000</v>
          </cell>
        </row>
        <row r="904">
          <cell r="H904">
            <v>2700000</v>
          </cell>
        </row>
        <row r="906">
          <cell r="H906">
            <v>1700000</v>
          </cell>
        </row>
        <row r="908">
          <cell r="W908">
            <v>1112735</v>
          </cell>
        </row>
        <row r="947">
          <cell r="V947">
            <v>1300000000</v>
          </cell>
        </row>
        <row r="1077">
          <cell r="H1077">
            <v>71113871</v>
          </cell>
        </row>
        <row r="1107">
          <cell r="H1107">
            <v>18170870</v>
          </cell>
        </row>
        <row r="1115">
          <cell r="G1115">
            <v>9233340</v>
          </cell>
          <cell r="H1115">
            <v>9233340</v>
          </cell>
        </row>
        <row r="1137">
          <cell r="AF1137">
            <v>13770298</v>
          </cell>
        </row>
        <row r="1142">
          <cell r="AF1142">
            <v>3000000</v>
          </cell>
        </row>
        <row r="1285">
          <cell r="AG1285">
            <v>1810672</v>
          </cell>
        </row>
        <row r="1288">
          <cell r="H1288">
            <v>482610</v>
          </cell>
        </row>
        <row r="1290">
          <cell r="H1290">
            <v>1145842</v>
          </cell>
        </row>
        <row r="1294">
          <cell r="H1294">
            <v>180655</v>
          </cell>
        </row>
        <row r="1325">
          <cell r="H1325">
            <v>13000000</v>
          </cell>
        </row>
        <row r="1333">
          <cell r="H1333">
            <v>9557058</v>
          </cell>
        </row>
        <row r="1336">
          <cell r="H1336">
            <v>2600000</v>
          </cell>
        </row>
        <row r="1340">
          <cell r="H1340">
            <v>4800000</v>
          </cell>
        </row>
        <row r="1342">
          <cell r="H1342">
            <v>3600000</v>
          </cell>
        </row>
        <row r="1344">
          <cell r="H1344">
            <v>196751</v>
          </cell>
        </row>
        <row r="1354">
          <cell r="H1354">
            <v>634000</v>
          </cell>
        </row>
        <row r="1355">
          <cell r="H1355">
            <v>6090000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63">
          <cell r="H1363">
            <v>2985000</v>
          </cell>
        </row>
        <row r="1366">
          <cell r="H1366">
            <v>109249</v>
          </cell>
        </row>
        <row r="1367">
          <cell r="H1367">
            <v>730000</v>
          </cell>
        </row>
        <row r="1393">
          <cell r="O1393">
            <v>1550000</v>
          </cell>
          <cell r="W1393">
            <v>22867435</v>
          </cell>
        </row>
        <row r="1394">
          <cell r="H1394">
            <v>21079467</v>
          </cell>
        </row>
        <row r="1396">
          <cell r="H1396">
            <v>1000000</v>
          </cell>
        </row>
        <row r="1397">
          <cell r="O1397">
            <v>1550000</v>
          </cell>
        </row>
        <row r="1398">
          <cell r="H1398">
            <v>241891</v>
          </cell>
        </row>
        <row r="1399">
          <cell r="H1399">
            <v>535545</v>
          </cell>
        </row>
        <row r="1417">
          <cell r="H1417">
            <v>37164514</v>
          </cell>
        </row>
        <row r="1508">
          <cell r="P1508">
            <v>24212635</v>
          </cell>
          <cell r="AG1508">
            <v>18173626</v>
          </cell>
        </row>
        <row r="1509">
          <cell r="H1509">
            <v>10341810</v>
          </cell>
        </row>
        <row r="1511">
          <cell r="H1511">
            <v>490716</v>
          </cell>
        </row>
        <row r="1519">
          <cell r="H1519">
            <v>358501</v>
          </cell>
        </row>
        <row r="1520">
          <cell r="H1520">
            <v>452350</v>
          </cell>
        </row>
        <row r="1523">
          <cell r="H1523">
            <v>305858</v>
          </cell>
        </row>
        <row r="1524">
          <cell r="H1524">
            <v>196751</v>
          </cell>
        </row>
        <row r="1525">
          <cell r="H1525">
            <v>3498750</v>
          </cell>
        </row>
        <row r="1531">
          <cell r="H1531">
            <v>700000</v>
          </cell>
        </row>
        <row r="1532">
          <cell r="H1532">
            <v>1390000</v>
          </cell>
        </row>
        <row r="1533">
          <cell r="H1533">
            <v>400000</v>
          </cell>
        </row>
        <row r="1540">
          <cell r="H1540">
            <v>38890</v>
          </cell>
        </row>
        <row r="1566">
          <cell r="W1566">
            <v>16838117</v>
          </cell>
        </row>
        <row r="1591">
          <cell r="H1591">
            <v>8000000</v>
          </cell>
        </row>
        <row r="1676">
          <cell r="H1676">
            <v>4993200</v>
          </cell>
        </row>
        <row r="1678">
          <cell r="AG1678">
            <v>5000000</v>
          </cell>
        </row>
        <row r="1761">
          <cell r="H1761">
            <v>12487248</v>
          </cell>
        </row>
        <row r="1817">
          <cell r="O1817">
            <v>3880000</v>
          </cell>
        </row>
        <row r="1873">
          <cell r="H1873">
            <v>8451027</v>
          </cell>
        </row>
        <row r="1889">
          <cell r="H1889">
            <v>33050686</v>
          </cell>
        </row>
        <row r="1921">
          <cell r="H1921">
            <v>830000</v>
          </cell>
        </row>
        <row r="1923">
          <cell r="AG1923">
            <v>830000</v>
          </cell>
        </row>
        <row r="1940">
          <cell r="H1940">
            <v>359172189</v>
          </cell>
        </row>
        <row r="1948">
          <cell r="H1948">
            <v>452887249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34">
          <cell r="H34">
            <v>49856575</v>
          </cell>
        </row>
        <row r="50">
          <cell r="U50">
            <v>30000000</v>
          </cell>
        </row>
        <row r="97">
          <cell r="H97">
            <v>100166000</v>
          </cell>
        </row>
        <row r="347">
          <cell r="Z347">
            <v>33953713</v>
          </cell>
        </row>
        <row r="457">
          <cell r="H457">
            <v>192408143</v>
          </cell>
        </row>
        <row r="474">
          <cell r="H474">
            <v>11486724</v>
          </cell>
        </row>
        <row r="480">
          <cell r="Z480">
            <v>100000000</v>
          </cell>
        </row>
        <row r="572">
          <cell r="Y572">
            <v>10000000</v>
          </cell>
        </row>
        <row r="585">
          <cell r="Y585">
            <v>27000000</v>
          </cell>
        </row>
        <row r="646">
          <cell r="G646">
            <v>1606424</v>
          </cell>
          <cell r="H646">
            <v>1606424</v>
          </cell>
        </row>
        <row r="929">
          <cell r="H929">
            <v>16905130</v>
          </cell>
        </row>
        <row r="959">
          <cell r="H959">
            <v>3179500</v>
          </cell>
        </row>
        <row r="961">
          <cell r="Y961">
            <v>3179500</v>
          </cell>
        </row>
        <row r="975">
          <cell r="H975">
            <v>10770298</v>
          </cell>
        </row>
        <row r="979">
          <cell r="M979">
            <v>12528000</v>
          </cell>
        </row>
        <row r="1124">
          <cell r="O1124">
            <v>10000000</v>
          </cell>
        </row>
        <row r="1142">
          <cell r="AG1142">
            <v>44764550</v>
          </cell>
        </row>
        <row r="1238">
          <cell r="O1238">
            <v>38164520</v>
          </cell>
        </row>
        <row r="1301">
          <cell r="H1301">
            <v>85445962</v>
          </cell>
        </row>
        <row r="1359">
          <cell r="H1359">
            <v>1000000</v>
          </cell>
        </row>
        <row r="1362">
          <cell r="G1362">
            <v>1000000</v>
          </cell>
        </row>
        <row r="1527">
          <cell r="O1527">
            <v>15200000</v>
          </cell>
        </row>
        <row r="1547">
          <cell r="G1547">
            <v>1000000</v>
          </cell>
          <cell r="H1547">
            <v>1000000</v>
          </cell>
        </row>
        <row r="1562">
          <cell r="G1562">
            <v>13946625</v>
          </cell>
        </row>
        <row r="1595">
          <cell r="H1595">
            <v>607874</v>
          </cell>
        </row>
        <row r="1597">
          <cell r="O1597">
            <v>607874</v>
          </cell>
        </row>
        <row r="1609">
          <cell r="O1609">
            <v>9950000</v>
          </cell>
        </row>
        <row r="1625">
          <cell r="H1625">
            <v>33106800</v>
          </cell>
        </row>
        <row r="1694">
          <cell r="X1694">
            <v>485000000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253">
          <cell r="M253">
            <v>50000000</v>
          </cell>
        </row>
        <row r="259">
          <cell r="M259">
            <v>200000000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47">
          <cell r="Y447">
            <v>50000000</v>
          </cell>
        </row>
        <row r="478">
          <cell r="Y478">
            <v>10000000</v>
          </cell>
        </row>
        <row r="520">
          <cell r="AD520">
            <v>1876315</v>
          </cell>
        </row>
        <row r="625">
          <cell r="O625">
            <v>80000000</v>
          </cell>
        </row>
        <row r="769">
          <cell r="H769">
            <v>17970750</v>
          </cell>
        </row>
        <row r="771">
          <cell r="O771">
            <v>20000000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  <cell r="W864">
            <v>265000000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  <row r="1371">
          <cell r="AA1371">
            <v>2700000000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153"/>
  <sheetViews>
    <sheetView showGridLines="0" topLeftCell="C1" zoomScaleNormal="100" zoomScalePageLayoutView="50" workbookViewId="0">
      <selection activeCell="D15" sqref="D1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77.85546875" bestFit="1" customWidth="1"/>
    <col min="5" max="5" width="6.28515625" customWidth="1"/>
    <col min="6" max="6" width="14.28515625" customWidth="1"/>
    <col min="7" max="7" width="13.7109375" bestFit="1" customWidth="1"/>
    <col min="8" max="8" width="8.42578125" customWidth="1"/>
    <col min="9" max="9" width="11.42578125" customWidth="1"/>
    <col min="10" max="10" width="12.7109375" customWidth="1"/>
    <col min="11" max="11" width="12.5703125" customWidth="1"/>
    <col min="12" max="12" width="12.28515625" customWidth="1"/>
    <col min="13" max="13" width="11.5703125" customWidth="1"/>
    <col min="14" max="14" width="8.42578125" customWidth="1"/>
    <col min="15" max="15" width="10.140625" customWidth="1"/>
    <col min="16" max="16" width="10.7109375" customWidth="1"/>
    <col min="17" max="17" width="11" customWidth="1"/>
    <col min="18" max="18" width="11.140625" customWidth="1"/>
    <col min="19" max="19" width="12.7109375" customWidth="1"/>
    <col min="20" max="20" width="12.28515625" customWidth="1"/>
    <col min="21" max="21" width="11.140625" customWidth="1"/>
    <col min="22" max="23" width="12.7109375" customWidth="1"/>
    <col min="24" max="24" width="11.28515625" customWidth="1"/>
    <col min="25" max="25" width="12.7109375" customWidth="1"/>
    <col min="26" max="27" width="12.28515625" customWidth="1"/>
    <col min="28" max="28" width="2" bestFit="1" customWidth="1"/>
    <col min="29" max="29" width="8.28515625" bestFit="1" customWidth="1"/>
    <col min="30" max="30" width="14.42578125" customWidth="1"/>
    <col min="31" max="31" width="14.42578125" hidden="1" customWidth="1"/>
    <col min="32" max="32" width="13.5703125" customWidth="1"/>
    <col min="33" max="33" width="14" customWidth="1"/>
    <col min="34" max="34" width="17.28515625" customWidth="1"/>
    <col min="35" max="35" width="16.140625" customWidth="1"/>
    <col min="36" max="37" width="15" customWidth="1"/>
    <col min="38" max="38" width="11.7109375" customWidth="1"/>
    <col min="39" max="39" width="13.28515625" customWidth="1"/>
    <col min="40" max="40" width="12.5703125" customWidth="1"/>
    <col min="41" max="41" width="14.42578125" customWidth="1"/>
    <col min="42" max="42" width="14.140625" customWidth="1"/>
    <col min="43" max="43" width="13.28515625" customWidth="1"/>
    <col min="44" max="44" width="13.5703125" customWidth="1"/>
    <col min="45" max="45" width="13.42578125" customWidth="1"/>
    <col min="46" max="46" width="17.7109375" customWidth="1"/>
    <col min="47" max="47" width="13.42578125" bestFit="1" customWidth="1"/>
    <col min="48" max="48" width="14.85546875" customWidth="1"/>
    <col min="49" max="49" width="15.5703125" customWidth="1"/>
    <col min="50" max="50" width="13.85546875" customWidth="1"/>
    <col min="51" max="52" width="14.85546875" customWidth="1"/>
    <col min="53" max="53" width="10" customWidth="1"/>
    <col min="54" max="54" width="14.5703125" customWidth="1"/>
    <col min="55" max="55" width="15.140625" customWidth="1"/>
    <col min="56" max="56" width="14.42578125" customWidth="1"/>
    <col min="57" max="57" width="11.28515625" customWidth="1"/>
    <col min="58" max="58" width="13.85546875" customWidth="1"/>
    <col min="59" max="59" width="10" customWidth="1"/>
    <col min="60" max="60" width="11" customWidth="1"/>
    <col min="61" max="62" width="9.28515625" customWidth="1"/>
    <col min="63" max="63" width="12.5703125" customWidth="1"/>
    <col min="64" max="64" width="13.5703125" customWidth="1"/>
    <col min="65" max="65" width="15.140625" customWidth="1"/>
    <col min="66" max="66" width="13.85546875" customWidth="1"/>
    <col min="67" max="67" width="15" customWidth="1"/>
    <col min="68" max="69" width="13.42578125" customWidth="1"/>
    <col min="70" max="70" width="13.5703125" customWidth="1"/>
    <col min="71" max="71" width="13.7109375" customWidth="1"/>
    <col min="72" max="72" width="14" customWidth="1"/>
    <col min="73" max="73" width="10.28515625" customWidth="1"/>
    <col min="74" max="74" width="14" customWidth="1"/>
    <col min="75" max="75" width="14" hidden="1" customWidth="1"/>
    <col min="76" max="76" width="12.28515625" customWidth="1"/>
    <col min="77" max="77" width="13.28515625" customWidth="1"/>
    <col min="78" max="78" width="14" customWidth="1"/>
    <col min="79" max="79" width="15.42578125" customWidth="1"/>
    <col min="80" max="80" width="15.28515625" customWidth="1"/>
    <col min="81" max="81" width="12.42578125" customWidth="1"/>
    <col min="82" max="82" width="11.7109375" customWidth="1"/>
    <col min="83" max="83" width="13.42578125" customWidth="1"/>
    <col min="84" max="84" width="11.42578125" customWidth="1"/>
    <col min="85" max="85" width="15.7109375" customWidth="1"/>
    <col min="86" max="86" width="16.28515625" customWidth="1"/>
    <col min="87" max="87" width="16.5703125" customWidth="1"/>
    <col min="88" max="88" width="17.140625" customWidth="1"/>
    <col min="89" max="89" width="13" customWidth="1"/>
    <col min="90" max="91" width="14.28515625" customWidth="1"/>
    <col min="92" max="92" width="13.7109375" customWidth="1"/>
    <col min="93" max="93" width="12.28515625" customWidth="1"/>
    <col min="94" max="94" width="13.42578125" customWidth="1"/>
    <col min="95" max="95" width="9.7109375" customWidth="1"/>
    <col min="96" max="97" width="15" customWidth="1"/>
    <col min="98" max="98" width="13.7109375" customWidth="1"/>
    <col min="99" max="99" width="14.42578125" customWidth="1"/>
    <col min="100" max="100" width="15.5703125" customWidth="1"/>
    <col min="101" max="103" width="13.5703125" customWidth="1"/>
    <col min="104" max="105" width="13.85546875" customWidth="1"/>
    <col min="106" max="106" width="11.42578125" customWidth="1"/>
    <col min="107" max="107" width="13.7109375" customWidth="1"/>
    <col min="108" max="108" width="13.85546875" customWidth="1"/>
    <col min="109" max="109" width="12.28515625" customWidth="1"/>
    <col min="110" max="110" width="13.85546875" customWidth="1"/>
    <col min="111" max="111" width="13.28515625" customWidth="1"/>
    <col min="112" max="113" width="14.42578125" customWidth="1"/>
    <col min="114" max="115" width="14.85546875" customWidth="1"/>
    <col min="116" max="116" width="13.5703125" customWidth="1"/>
    <col min="117" max="117" width="5.140625" customWidth="1"/>
    <col min="118" max="118" width="13.85546875" customWidth="1"/>
    <col min="119" max="119" width="14.42578125" customWidth="1"/>
    <col min="120" max="120" width="15" customWidth="1"/>
  </cols>
  <sheetData>
    <row r="1" spans="1:120" ht="18" customHeight="1" x14ac:dyDescent="0.3">
      <c r="C1" s="201" t="s">
        <v>0</v>
      </c>
      <c r="D1" s="201"/>
      <c r="E1" s="201"/>
      <c r="F1" s="201"/>
      <c r="G1" s="202" t="s">
        <v>1</v>
      </c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1"/>
      <c r="AC1" s="2"/>
      <c r="AD1" s="203" t="s">
        <v>2</v>
      </c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5"/>
      <c r="AY1" s="3"/>
      <c r="AZ1" s="4"/>
      <c r="BA1" s="5"/>
      <c r="BB1" s="199" t="s">
        <v>3</v>
      </c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6"/>
      <c r="BV1" s="199" t="s">
        <v>4</v>
      </c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0"/>
      <c r="CL1" s="200"/>
      <c r="CM1" s="200"/>
      <c r="CN1" s="200"/>
      <c r="CO1" s="200"/>
      <c r="CP1" s="206"/>
      <c r="CQ1" s="3"/>
      <c r="CR1" s="199" t="s">
        <v>3</v>
      </c>
      <c r="CS1" s="200"/>
      <c r="CT1" s="200"/>
      <c r="CU1" s="200"/>
      <c r="CV1" s="200"/>
      <c r="CW1" s="200"/>
      <c r="CX1" s="200"/>
      <c r="CY1" s="200"/>
      <c r="CZ1" s="200"/>
      <c r="DA1" s="200"/>
      <c r="DB1" s="200"/>
      <c r="DC1" s="200"/>
      <c r="DD1" s="200"/>
      <c r="DE1" s="200"/>
      <c r="DF1" s="200"/>
      <c r="DG1" s="200"/>
      <c r="DH1" s="200"/>
      <c r="DI1" s="200"/>
      <c r="DJ1" s="200"/>
      <c r="DK1" s="200"/>
      <c r="DL1" s="200"/>
    </row>
    <row r="2" spans="1:120" ht="15.6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23" t="s">
        <v>10</v>
      </c>
      <c r="G2" s="214" t="s">
        <v>11</v>
      </c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6"/>
      <c r="AB2" s="1"/>
      <c r="AC2" s="6"/>
      <c r="AD2" s="217" t="s">
        <v>12</v>
      </c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9"/>
      <c r="AY2" s="7"/>
      <c r="AZ2" s="8"/>
      <c r="BA2" s="9"/>
      <c r="BB2" s="220" t="s">
        <v>13</v>
      </c>
      <c r="BC2" s="221"/>
      <c r="BD2" s="221"/>
      <c r="BE2" s="221"/>
      <c r="BF2" s="221"/>
      <c r="BG2" s="221"/>
      <c r="BH2" s="221"/>
      <c r="BI2" s="221"/>
      <c r="BJ2" s="222"/>
      <c r="BK2" s="220" t="s">
        <v>13</v>
      </c>
      <c r="BL2" s="221"/>
      <c r="BM2" s="221"/>
      <c r="BN2" s="221"/>
      <c r="BO2" s="221"/>
      <c r="BP2" s="221"/>
      <c r="BQ2" s="221"/>
      <c r="BR2" s="221"/>
      <c r="BS2" s="221"/>
      <c r="BT2" s="222"/>
      <c r="BU2" s="10"/>
      <c r="BV2" s="11"/>
      <c r="BW2" s="12"/>
      <c r="BX2" s="217" t="s">
        <v>14</v>
      </c>
      <c r="BY2" s="218"/>
      <c r="BZ2" s="218"/>
      <c r="CA2" s="218"/>
      <c r="CB2" s="218"/>
      <c r="CC2" s="218"/>
      <c r="CD2" s="218"/>
      <c r="CE2" s="218"/>
      <c r="CF2" s="218"/>
      <c r="CG2" s="218"/>
      <c r="CH2" s="13"/>
      <c r="CI2" s="217" t="s">
        <v>14</v>
      </c>
      <c r="CJ2" s="218"/>
      <c r="CK2" s="218"/>
      <c r="CL2" s="218"/>
      <c r="CM2" s="218"/>
      <c r="CN2" s="218"/>
      <c r="CO2" s="218"/>
      <c r="CP2" s="219"/>
      <c r="CQ2" s="14"/>
      <c r="CR2" s="220" t="s">
        <v>13</v>
      </c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 t="s">
        <v>13</v>
      </c>
      <c r="DD2" s="221"/>
      <c r="DE2" s="221"/>
      <c r="DF2" s="221"/>
      <c r="DG2" s="221"/>
      <c r="DH2" s="221"/>
      <c r="DI2" s="221"/>
      <c r="DJ2" s="221"/>
      <c r="DK2" s="221"/>
      <c r="DL2" s="222"/>
    </row>
    <row r="3" spans="1:120" ht="43.5" customHeight="1" x14ac:dyDescent="0.25">
      <c r="A3" s="207"/>
      <c r="B3" s="207"/>
      <c r="C3" s="209"/>
      <c r="D3" s="207"/>
      <c r="E3" s="211"/>
      <c r="F3" s="224"/>
      <c r="G3" s="15" t="s">
        <v>15</v>
      </c>
      <c r="H3" s="15" t="s">
        <v>16</v>
      </c>
      <c r="I3" s="15" t="s">
        <v>17</v>
      </c>
      <c r="J3" s="15" t="s">
        <v>18</v>
      </c>
      <c r="K3" s="15" t="s">
        <v>19</v>
      </c>
      <c r="L3" s="15" t="s">
        <v>20</v>
      </c>
      <c r="M3" s="15" t="s">
        <v>21</v>
      </c>
      <c r="N3" s="15" t="s">
        <v>22</v>
      </c>
      <c r="O3" s="15" t="s">
        <v>23</v>
      </c>
      <c r="P3" s="15" t="s">
        <v>24</v>
      </c>
      <c r="Q3" s="15" t="s">
        <v>25</v>
      </c>
      <c r="R3" s="15" t="s">
        <v>26</v>
      </c>
      <c r="S3" s="15" t="s">
        <v>27</v>
      </c>
      <c r="T3" s="15" t="s">
        <v>28</v>
      </c>
      <c r="U3" s="15" t="s">
        <v>29</v>
      </c>
      <c r="V3" s="15" t="s">
        <v>30</v>
      </c>
      <c r="W3" s="15" t="s">
        <v>31</v>
      </c>
      <c r="X3" s="15" t="s">
        <v>32</v>
      </c>
      <c r="Y3" s="15" t="s">
        <v>33</v>
      </c>
      <c r="Z3" s="15" t="s">
        <v>34</v>
      </c>
      <c r="AA3" s="15" t="s">
        <v>35</v>
      </c>
      <c r="AC3" s="16" t="s">
        <v>36</v>
      </c>
      <c r="AD3" s="17" t="s">
        <v>15</v>
      </c>
      <c r="AE3" s="17" t="s">
        <v>16</v>
      </c>
      <c r="AF3" s="17" t="s">
        <v>17</v>
      </c>
      <c r="AG3" s="17" t="s">
        <v>37</v>
      </c>
      <c r="AH3" s="17" t="s">
        <v>19</v>
      </c>
      <c r="AI3" s="17" t="s">
        <v>20</v>
      </c>
      <c r="AJ3" s="17" t="s">
        <v>21</v>
      </c>
      <c r="AK3" s="17" t="s">
        <v>22</v>
      </c>
      <c r="AL3" s="17" t="s">
        <v>23</v>
      </c>
      <c r="AM3" s="17" t="s">
        <v>24</v>
      </c>
      <c r="AN3" s="17" t="s">
        <v>25</v>
      </c>
      <c r="AO3" s="17" t="s">
        <v>38</v>
      </c>
      <c r="AP3" s="17" t="s">
        <v>27</v>
      </c>
      <c r="AQ3" s="17" t="s">
        <v>28</v>
      </c>
      <c r="AR3" s="17" t="s">
        <v>29</v>
      </c>
      <c r="AS3" s="18" t="str">
        <f>+V3</f>
        <v xml:space="preserve">EXCEDENTES  USCO </v>
      </c>
      <c r="AT3" s="17" t="s">
        <v>31</v>
      </c>
      <c r="AU3" s="17" t="s">
        <v>32</v>
      </c>
      <c r="AV3" s="17" t="s">
        <v>33</v>
      </c>
      <c r="AW3" s="17" t="s">
        <v>34</v>
      </c>
      <c r="AX3" s="17" t="s">
        <v>35</v>
      </c>
      <c r="AY3" s="19" t="s">
        <v>36</v>
      </c>
      <c r="AZ3" s="20" t="s">
        <v>15</v>
      </c>
      <c r="BA3" s="20" t="s">
        <v>16</v>
      </c>
      <c r="BB3" s="20" t="s">
        <v>17</v>
      </c>
      <c r="BC3" s="20" t="s">
        <v>37</v>
      </c>
      <c r="BD3" s="20" t="s">
        <v>19</v>
      </c>
      <c r="BE3" s="20" t="s">
        <v>20</v>
      </c>
      <c r="BF3" s="20" t="s">
        <v>21</v>
      </c>
      <c r="BG3" s="20" t="s">
        <v>22</v>
      </c>
      <c r="BH3" s="20" t="s">
        <v>23</v>
      </c>
      <c r="BI3" s="20" t="s">
        <v>24</v>
      </c>
      <c r="BJ3" s="20" t="s">
        <v>25</v>
      </c>
      <c r="BK3" s="20" t="s">
        <v>38</v>
      </c>
      <c r="BL3" s="20" t="s">
        <v>27</v>
      </c>
      <c r="BM3" s="20" t="s">
        <v>28</v>
      </c>
      <c r="BN3" s="20" t="s">
        <v>29</v>
      </c>
      <c r="BO3" s="20" t="str">
        <f>+AS3</f>
        <v xml:space="preserve">EXCEDENTES  USCO </v>
      </c>
      <c r="BP3" s="20" t="s">
        <v>31</v>
      </c>
      <c r="BQ3" s="20" t="s">
        <v>32</v>
      </c>
      <c r="BR3" s="20" t="s">
        <v>33</v>
      </c>
      <c r="BS3" s="20" t="s">
        <v>34</v>
      </c>
      <c r="BT3" s="20" t="s">
        <v>35</v>
      </c>
      <c r="BU3" s="16" t="s">
        <v>36</v>
      </c>
      <c r="BV3" s="17" t="s">
        <v>15</v>
      </c>
      <c r="BW3" s="17" t="s">
        <v>16</v>
      </c>
      <c r="BX3" s="17" t="s">
        <v>17</v>
      </c>
      <c r="BY3" s="17" t="s">
        <v>37</v>
      </c>
      <c r="BZ3" s="17" t="s">
        <v>19</v>
      </c>
      <c r="CA3" s="17" t="s">
        <v>20</v>
      </c>
      <c r="CB3" s="17" t="s">
        <v>21</v>
      </c>
      <c r="CC3" s="17" t="s">
        <v>22</v>
      </c>
      <c r="CD3" s="17" t="s">
        <v>23</v>
      </c>
      <c r="CE3" s="17" t="s">
        <v>24</v>
      </c>
      <c r="CF3" s="17" t="s">
        <v>25</v>
      </c>
      <c r="CG3" s="17" t="s">
        <v>38</v>
      </c>
      <c r="CH3" s="17" t="s">
        <v>27</v>
      </c>
      <c r="CI3" s="17" t="s">
        <v>28</v>
      </c>
      <c r="CJ3" s="17" t="s">
        <v>29</v>
      </c>
      <c r="CK3" s="17" t="str">
        <f>+BO3</f>
        <v xml:space="preserve">EXCEDENTES  USCO </v>
      </c>
      <c r="CL3" s="17" t="s">
        <v>31</v>
      </c>
      <c r="CM3" s="17" t="s">
        <v>32</v>
      </c>
      <c r="CN3" s="17" t="s">
        <v>33</v>
      </c>
      <c r="CO3" s="17" t="s">
        <v>34</v>
      </c>
      <c r="CP3" s="17" t="s">
        <v>35</v>
      </c>
      <c r="CQ3" s="19" t="s">
        <v>36</v>
      </c>
      <c r="CR3" s="20" t="s">
        <v>15</v>
      </c>
      <c r="CS3" s="20" t="s">
        <v>16</v>
      </c>
      <c r="CT3" s="20" t="s">
        <v>17</v>
      </c>
      <c r="CU3" s="20" t="s">
        <v>37</v>
      </c>
      <c r="CV3" s="20" t="s">
        <v>19</v>
      </c>
      <c r="CW3" s="20" t="s">
        <v>20</v>
      </c>
      <c r="CX3" s="20" t="s">
        <v>21</v>
      </c>
      <c r="CY3" s="20" t="s">
        <v>22</v>
      </c>
      <c r="CZ3" s="20" t="s">
        <v>23</v>
      </c>
      <c r="DA3" s="20" t="s">
        <v>24</v>
      </c>
      <c r="DB3" s="20" t="s">
        <v>25</v>
      </c>
      <c r="DC3" s="20" t="s">
        <v>38</v>
      </c>
      <c r="DD3" s="20" t="s">
        <v>27</v>
      </c>
      <c r="DE3" s="20" t="s">
        <v>28</v>
      </c>
      <c r="DF3" s="20" t="s">
        <v>29</v>
      </c>
      <c r="DG3" s="21" t="str">
        <f>+CK3</f>
        <v xml:space="preserve">EXCEDENTES  USCO </v>
      </c>
      <c r="DH3" s="20" t="s">
        <v>31</v>
      </c>
      <c r="DI3" s="20" t="s">
        <v>32</v>
      </c>
      <c r="DJ3" s="20" t="s">
        <v>33</v>
      </c>
      <c r="DK3" s="20" t="s">
        <v>34</v>
      </c>
      <c r="DL3" s="20" t="s">
        <v>35</v>
      </c>
    </row>
    <row r="4" spans="1:120" ht="37.5" customHeight="1" x14ac:dyDescent="0.25">
      <c r="A4" s="22" t="s">
        <v>39</v>
      </c>
      <c r="B4" s="212" t="s">
        <v>40</v>
      </c>
      <c r="C4" s="23" t="s">
        <v>41</v>
      </c>
      <c r="D4" s="24" t="s">
        <v>42</v>
      </c>
      <c r="E4" s="25">
        <v>510</v>
      </c>
      <c r="F4" s="26" t="s">
        <v>43</v>
      </c>
      <c r="G4" s="27">
        <f t="shared" ref="G4:G19" si="0">SUM(H4:AA4)</f>
        <v>25000000</v>
      </c>
      <c r="H4" s="27"/>
      <c r="I4" s="27"/>
      <c r="J4" s="27"/>
      <c r="K4" s="27"/>
      <c r="L4" s="27">
        <v>25000000</v>
      </c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8"/>
      <c r="AC4" s="29">
        <f t="shared" ref="AC4:AC67" si="1">+AD4/G4</f>
        <v>1</v>
      </c>
      <c r="AD4" s="27">
        <f t="shared" ref="AD4:AD19" si="2">SUM(AE4:AX4)</f>
        <v>25000000</v>
      </c>
      <c r="AE4" s="30"/>
      <c r="AF4" s="31"/>
      <c r="AG4" s="31"/>
      <c r="AH4" s="31"/>
      <c r="AI4" s="27">
        <v>25000000</v>
      </c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29">
        <f t="shared" ref="AY4:AY67" si="3">1-AC4</f>
        <v>0</v>
      </c>
      <c r="AZ4" s="27">
        <f t="shared" ref="AZ4:AZ19" si="4">SUM(BA4:BT4)</f>
        <v>0</v>
      </c>
      <c r="BA4" s="27">
        <f t="shared" ref="BA4:BP19" si="5">+H4</f>
        <v>0</v>
      </c>
      <c r="BB4" s="27">
        <f t="shared" si="5"/>
        <v>0</v>
      </c>
      <c r="BC4" s="27">
        <f t="shared" ref="BC4:BD16" si="6">J4-AG4</f>
        <v>0</v>
      </c>
      <c r="BD4" s="27">
        <f t="shared" si="6"/>
        <v>0</v>
      </c>
      <c r="BE4" s="27">
        <f t="shared" ref="BE4:BP19" si="7">+L4-AI4</f>
        <v>0</v>
      </c>
      <c r="BF4" s="27">
        <f t="shared" si="7"/>
        <v>0</v>
      </c>
      <c r="BG4" s="27">
        <f t="shared" si="7"/>
        <v>0</v>
      </c>
      <c r="BH4" s="27">
        <f t="shared" si="7"/>
        <v>0</v>
      </c>
      <c r="BI4" s="27">
        <f t="shared" si="7"/>
        <v>0</v>
      </c>
      <c r="BJ4" s="27">
        <f t="shared" si="7"/>
        <v>0</v>
      </c>
      <c r="BK4" s="27">
        <f t="shared" si="7"/>
        <v>0</v>
      </c>
      <c r="BL4" s="27">
        <f t="shared" si="7"/>
        <v>0</v>
      </c>
      <c r="BM4" s="27">
        <f t="shared" si="7"/>
        <v>0</v>
      </c>
      <c r="BN4" s="27">
        <f t="shared" si="7"/>
        <v>0</v>
      </c>
      <c r="BO4" s="27">
        <f t="shared" si="7"/>
        <v>0</v>
      </c>
      <c r="BP4" s="27">
        <f t="shared" si="7"/>
        <v>0</v>
      </c>
      <c r="BQ4" s="27"/>
      <c r="BR4" s="27">
        <f>+Y4-AV4</f>
        <v>0</v>
      </c>
      <c r="BS4" s="27">
        <f t="shared" ref="BS4:BS16" si="8">Z4-AW4</f>
        <v>0</v>
      </c>
      <c r="BT4" s="27">
        <f t="shared" ref="BT4:BT16" si="9">+AA4-AX4</f>
        <v>0</v>
      </c>
      <c r="BU4" s="29">
        <f t="shared" ref="BU4:BU67" si="10">+BV4/G4</f>
        <v>0.79162392000000004</v>
      </c>
      <c r="BV4" s="27">
        <f t="shared" ref="BV4:BV19" si="11">SUM(BW4:CP4)</f>
        <v>19790598</v>
      </c>
      <c r="BW4" s="27"/>
      <c r="BX4" s="27"/>
      <c r="BY4" s="27"/>
      <c r="BZ4" s="27"/>
      <c r="CA4" s="27">
        <f>+'[1]JUNIO 2016'!$H$1467</f>
        <v>19790598</v>
      </c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9">
        <f t="shared" ref="CQ4:CQ57" si="12">1-BU4</f>
        <v>0.20837607999999996</v>
      </c>
      <c r="CR4" s="27">
        <f t="shared" ref="CR4:CR19" si="13">SUM(CS4:DL4)</f>
        <v>5209402</v>
      </c>
      <c r="CS4" s="27">
        <f t="shared" ref="CS4:CY19" si="14">H4-BW4</f>
        <v>0</v>
      </c>
      <c r="CT4" s="27">
        <f t="shared" si="14"/>
        <v>0</v>
      </c>
      <c r="CU4" s="27">
        <f t="shared" si="14"/>
        <v>0</v>
      </c>
      <c r="CV4" s="27">
        <f t="shared" si="14"/>
        <v>0</v>
      </c>
      <c r="CW4" s="27">
        <f t="shared" si="14"/>
        <v>5209402</v>
      </c>
      <c r="CX4" s="27">
        <f t="shared" si="14"/>
        <v>0</v>
      </c>
      <c r="CY4" s="27">
        <f t="shared" si="14"/>
        <v>0</v>
      </c>
      <c r="CZ4" s="27">
        <f t="shared" ref="CZ4:DB16" si="15">+O4-CD4</f>
        <v>0</v>
      </c>
      <c r="DA4" s="27">
        <f t="shared" si="15"/>
        <v>0</v>
      </c>
      <c r="DB4" s="27">
        <f t="shared" si="15"/>
        <v>0</v>
      </c>
      <c r="DC4" s="27">
        <f t="shared" ref="DC4:DE19" si="16">R4-CG4</f>
        <v>0</v>
      </c>
      <c r="DD4" s="27">
        <f t="shared" si="16"/>
        <v>0</v>
      </c>
      <c r="DE4" s="27">
        <f t="shared" si="16"/>
        <v>0</v>
      </c>
      <c r="DF4" s="27">
        <f t="shared" ref="DF4:DH16" si="17">+U4-CJ4</f>
        <v>0</v>
      </c>
      <c r="DG4" s="27">
        <f t="shared" si="17"/>
        <v>0</v>
      </c>
      <c r="DH4" s="27">
        <f t="shared" si="17"/>
        <v>0</v>
      </c>
      <c r="DI4" s="27"/>
      <c r="DJ4" s="27">
        <f t="shared" ref="DJ4:DL16" si="18">+Y4-CN4</f>
        <v>0</v>
      </c>
      <c r="DK4" s="27">
        <f t="shared" si="18"/>
        <v>0</v>
      </c>
      <c r="DL4" s="27">
        <f t="shared" si="18"/>
        <v>0</v>
      </c>
      <c r="DN4" s="33">
        <f t="shared" ref="DN4:DN67" si="19">+G4</f>
        <v>25000000</v>
      </c>
      <c r="DO4" s="33">
        <f t="shared" ref="DO4:DO67" si="20">+AD4+AZ4</f>
        <v>25000000</v>
      </c>
      <c r="DP4" s="33">
        <f t="shared" ref="DP4:DP67" si="21">+BV4+CR4</f>
        <v>25000000</v>
      </c>
    </row>
    <row r="5" spans="1:120" ht="39.75" customHeight="1" x14ac:dyDescent="0.25">
      <c r="A5" s="34"/>
      <c r="B5" s="225"/>
      <c r="C5" s="23" t="s">
        <v>44</v>
      </c>
      <c r="D5" s="24" t="s">
        <v>45</v>
      </c>
      <c r="E5" s="25">
        <v>510</v>
      </c>
      <c r="F5" s="26" t="s">
        <v>43</v>
      </c>
      <c r="G5" s="27">
        <f t="shared" si="0"/>
        <v>59800000</v>
      </c>
      <c r="H5" s="27"/>
      <c r="I5" s="27"/>
      <c r="J5" s="27">
        <v>18000000</v>
      </c>
      <c r="K5" s="27"/>
      <c r="L5" s="27">
        <v>36000000</v>
      </c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>
        <f>5000000+1800000-1000000</f>
        <v>5800000</v>
      </c>
      <c r="AB5" s="35"/>
      <c r="AC5" s="29">
        <f t="shared" si="1"/>
        <v>0.63228548494983272</v>
      </c>
      <c r="AD5" s="27">
        <f t="shared" si="2"/>
        <v>37810672</v>
      </c>
      <c r="AE5" s="27"/>
      <c r="AF5" s="27"/>
      <c r="AG5" s="27"/>
      <c r="AH5" s="27"/>
      <c r="AI5" s="27">
        <f>+'[2]MARZO 2016 ULTIMO'!$O$867</f>
        <v>36000000</v>
      </c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>
        <f>+'[3]MAYO 2016'!$AG$1285</f>
        <v>1810672</v>
      </c>
      <c r="AY5" s="29">
        <f t="shared" si="3"/>
        <v>0.36771451505016728</v>
      </c>
      <c r="AZ5" s="27">
        <f t="shared" si="4"/>
        <v>21989328</v>
      </c>
      <c r="BA5" s="27">
        <f t="shared" si="5"/>
        <v>0</v>
      </c>
      <c r="BB5" s="27">
        <f t="shared" si="5"/>
        <v>0</v>
      </c>
      <c r="BC5" s="27">
        <f t="shared" si="6"/>
        <v>18000000</v>
      </c>
      <c r="BD5" s="27">
        <f t="shared" si="6"/>
        <v>0</v>
      </c>
      <c r="BE5" s="27">
        <f t="shared" si="7"/>
        <v>0</v>
      </c>
      <c r="BF5" s="27">
        <f t="shared" si="7"/>
        <v>0</v>
      </c>
      <c r="BG5" s="27">
        <f t="shared" si="7"/>
        <v>0</v>
      </c>
      <c r="BH5" s="27">
        <f t="shared" si="7"/>
        <v>0</v>
      </c>
      <c r="BI5" s="27">
        <f t="shared" si="7"/>
        <v>0</v>
      </c>
      <c r="BJ5" s="27">
        <f t="shared" si="7"/>
        <v>0</v>
      </c>
      <c r="BK5" s="27">
        <f t="shared" si="7"/>
        <v>0</v>
      </c>
      <c r="BL5" s="27">
        <f t="shared" si="7"/>
        <v>0</v>
      </c>
      <c r="BM5" s="27">
        <f t="shared" si="7"/>
        <v>0</v>
      </c>
      <c r="BN5" s="27">
        <f t="shared" si="7"/>
        <v>0</v>
      </c>
      <c r="BO5" s="27">
        <f t="shared" si="7"/>
        <v>0</v>
      </c>
      <c r="BP5" s="27">
        <f t="shared" si="7"/>
        <v>0</v>
      </c>
      <c r="BQ5" s="27"/>
      <c r="BR5" s="27"/>
      <c r="BS5" s="27">
        <f t="shared" si="8"/>
        <v>0</v>
      </c>
      <c r="BT5" s="27">
        <f t="shared" si="9"/>
        <v>3989328</v>
      </c>
      <c r="BU5" s="29">
        <f t="shared" si="10"/>
        <v>0.63225928093645489</v>
      </c>
      <c r="BV5" s="27">
        <f t="shared" si="11"/>
        <v>37809105</v>
      </c>
      <c r="BW5" s="27"/>
      <c r="BX5" s="27"/>
      <c r="BY5" s="27"/>
      <c r="BZ5" s="27"/>
      <c r="CA5" s="27">
        <f>+'[1]JUNIO 2016'!$H$1488+'[1]JUNIO 2016'!$H$1494</f>
        <v>35999998</v>
      </c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>
        <f>+'[3]MAYO 2016'!$H$1288+'[3]MAYO 2016'!$H$1290+'[3]MAYO 2016'!$H$1294</f>
        <v>1809107</v>
      </c>
      <c r="CQ5" s="29">
        <f t="shared" si="12"/>
        <v>0.36774071906354511</v>
      </c>
      <c r="CR5" s="27">
        <f t="shared" si="13"/>
        <v>21990895</v>
      </c>
      <c r="CS5" s="27">
        <f t="shared" si="14"/>
        <v>0</v>
      </c>
      <c r="CT5" s="27">
        <f t="shared" si="14"/>
        <v>0</v>
      </c>
      <c r="CU5" s="27">
        <f t="shared" si="14"/>
        <v>18000000</v>
      </c>
      <c r="CV5" s="27">
        <f t="shared" si="14"/>
        <v>0</v>
      </c>
      <c r="CW5" s="27">
        <f t="shared" si="14"/>
        <v>2</v>
      </c>
      <c r="CX5" s="27">
        <f t="shared" si="14"/>
        <v>0</v>
      </c>
      <c r="CY5" s="27">
        <f t="shared" si="14"/>
        <v>0</v>
      </c>
      <c r="CZ5" s="27">
        <f t="shared" si="15"/>
        <v>0</v>
      </c>
      <c r="DA5" s="27">
        <f t="shared" si="15"/>
        <v>0</v>
      </c>
      <c r="DB5" s="27">
        <f t="shared" si="15"/>
        <v>0</v>
      </c>
      <c r="DC5" s="27">
        <f t="shared" si="16"/>
        <v>0</v>
      </c>
      <c r="DD5" s="27">
        <f t="shared" si="16"/>
        <v>0</v>
      </c>
      <c r="DE5" s="27">
        <f t="shared" si="16"/>
        <v>0</v>
      </c>
      <c r="DF5" s="27">
        <f t="shared" si="17"/>
        <v>0</v>
      </c>
      <c r="DG5" s="27">
        <f t="shared" si="17"/>
        <v>0</v>
      </c>
      <c r="DH5" s="27">
        <f t="shared" si="17"/>
        <v>0</v>
      </c>
      <c r="DI5" s="27"/>
      <c r="DJ5" s="27">
        <f t="shared" si="18"/>
        <v>0</v>
      </c>
      <c r="DK5" s="27">
        <f t="shared" si="18"/>
        <v>0</v>
      </c>
      <c r="DL5" s="27">
        <f t="shared" si="18"/>
        <v>3990893</v>
      </c>
      <c r="DN5" s="33">
        <f t="shared" si="19"/>
        <v>59800000</v>
      </c>
      <c r="DO5" s="33">
        <f t="shared" si="20"/>
        <v>59800000</v>
      </c>
      <c r="DP5" s="33">
        <f t="shared" si="21"/>
        <v>59800000</v>
      </c>
    </row>
    <row r="6" spans="1:120" ht="30.75" customHeight="1" x14ac:dyDescent="0.25">
      <c r="A6" s="34"/>
      <c r="B6" s="213"/>
      <c r="C6" s="23" t="s">
        <v>46</v>
      </c>
      <c r="D6" s="24" t="s">
        <v>47</v>
      </c>
      <c r="E6" s="36">
        <v>510</v>
      </c>
      <c r="F6" s="26" t="s">
        <v>43</v>
      </c>
      <c r="G6" s="27">
        <f t="shared" si="0"/>
        <v>21000000</v>
      </c>
      <c r="H6" s="27"/>
      <c r="I6" s="27"/>
      <c r="J6" s="27">
        <v>11000000</v>
      </c>
      <c r="K6" s="27"/>
      <c r="L6" s="27">
        <v>10000000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35"/>
      <c r="AC6" s="29">
        <f t="shared" si="1"/>
        <v>0.47619047619047616</v>
      </c>
      <c r="AD6" s="27">
        <f t="shared" si="2"/>
        <v>10000000</v>
      </c>
      <c r="AE6" s="27"/>
      <c r="AF6" s="27"/>
      <c r="AG6" s="27"/>
      <c r="AH6" s="27"/>
      <c r="AI6" s="27">
        <f>+'[2]MARZO 2016 ULTIMO'!$O$878</f>
        <v>10000000</v>
      </c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9">
        <f t="shared" si="3"/>
        <v>0.52380952380952384</v>
      </c>
      <c r="AZ6" s="27">
        <f t="shared" si="4"/>
        <v>11000000</v>
      </c>
      <c r="BA6" s="27">
        <f t="shared" si="5"/>
        <v>0</v>
      </c>
      <c r="BB6" s="27">
        <f t="shared" si="5"/>
        <v>0</v>
      </c>
      <c r="BC6" s="27">
        <f t="shared" si="6"/>
        <v>11000000</v>
      </c>
      <c r="BD6" s="27">
        <f t="shared" si="6"/>
        <v>0</v>
      </c>
      <c r="BE6" s="27">
        <f t="shared" si="7"/>
        <v>0</v>
      </c>
      <c r="BF6" s="27">
        <f t="shared" si="7"/>
        <v>0</v>
      </c>
      <c r="BG6" s="27">
        <f t="shared" si="7"/>
        <v>0</v>
      </c>
      <c r="BH6" s="27">
        <f t="shared" si="7"/>
        <v>0</v>
      </c>
      <c r="BI6" s="27">
        <f t="shared" si="7"/>
        <v>0</v>
      </c>
      <c r="BJ6" s="27">
        <f t="shared" si="7"/>
        <v>0</v>
      </c>
      <c r="BK6" s="27">
        <f t="shared" si="7"/>
        <v>0</v>
      </c>
      <c r="BL6" s="27">
        <f t="shared" si="7"/>
        <v>0</v>
      </c>
      <c r="BM6" s="27">
        <f t="shared" si="7"/>
        <v>0</v>
      </c>
      <c r="BN6" s="27">
        <f t="shared" si="7"/>
        <v>0</v>
      </c>
      <c r="BO6" s="27">
        <f t="shared" si="7"/>
        <v>0</v>
      </c>
      <c r="BP6" s="27">
        <f t="shared" si="7"/>
        <v>0</v>
      </c>
      <c r="BQ6" s="27"/>
      <c r="BR6" s="27"/>
      <c r="BS6" s="27">
        <f t="shared" si="8"/>
        <v>0</v>
      </c>
      <c r="BT6" s="27">
        <f t="shared" si="9"/>
        <v>0</v>
      </c>
      <c r="BU6" s="29">
        <f t="shared" si="10"/>
        <v>0.47619047619047616</v>
      </c>
      <c r="BV6" s="27">
        <f t="shared" si="11"/>
        <v>10000000</v>
      </c>
      <c r="BW6" s="27"/>
      <c r="BX6" s="27"/>
      <c r="BY6" s="27"/>
      <c r="BZ6" s="27"/>
      <c r="CA6" s="27">
        <f>+'[4]ABRIL 2016'!$O$1124</f>
        <v>10000000</v>
      </c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9">
        <f t="shared" si="12"/>
        <v>0.52380952380952384</v>
      </c>
      <c r="CR6" s="27">
        <f t="shared" si="13"/>
        <v>11000000</v>
      </c>
      <c r="CS6" s="27">
        <f t="shared" si="14"/>
        <v>0</v>
      </c>
      <c r="CT6" s="27">
        <f t="shared" si="14"/>
        <v>0</v>
      </c>
      <c r="CU6" s="27">
        <f t="shared" si="14"/>
        <v>11000000</v>
      </c>
      <c r="CV6" s="27">
        <f t="shared" si="14"/>
        <v>0</v>
      </c>
      <c r="CW6" s="27">
        <f t="shared" si="14"/>
        <v>0</v>
      </c>
      <c r="CX6" s="27">
        <f t="shared" si="14"/>
        <v>0</v>
      </c>
      <c r="CY6" s="27">
        <f t="shared" si="14"/>
        <v>0</v>
      </c>
      <c r="CZ6" s="27">
        <f t="shared" si="15"/>
        <v>0</v>
      </c>
      <c r="DA6" s="27">
        <f t="shared" si="15"/>
        <v>0</v>
      </c>
      <c r="DB6" s="27">
        <f t="shared" si="15"/>
        <v>0</v>
      </c>
      <c r="DC6" s="27">
        <f t="shared" si="16"/>
        <v>0</v>
      </c>
      <c r="DD6" s="27">
        <f t="shared" si="16"/>
        <v>0</v>
      </c>
      <c r="DE6" s="27">
        <f t="shared" si="16"/>
        <v>0</v>
      </c>
      <c r="DF6" s="27">
        <f t="shared" si="17"/>
        <v>0</v>
      </c>
      <c r="DG6" s="27">
        <f t="shared" si="17"/>
        <v>0</v>
      </c>
      <c r="DH6" s="27">
        <f t="shared" si="17"/>
        <v>0</v>
      </c>
      <c r="DI6" s="27"/>
      <c r="DJ6" s="27">
        <f t="shared" si="18"/>
        <v>0</v>
      </c>
      <c r="DK6" s="27">
        <f t="shared" si="18"/>
        <v>0</v>
      </c>
      <c r="DL6" s="27">
        <f t="shared" si="18"/>
        <v>0</v>
      </c>
      <c r="DN6" s="33">
        <f t="shared" si="19"/>
        <v>21000000</v>
      </c>
      <c r="DO6" s="33">
        <f t="shared" si="20"/>
        <v>21000000</v>
      </c>
      <c r="DP6" s="33">
        <f t="shared" si="21"/>
        <v>21000000</v>
      </c>
    </row>
    <row r="7" spans="1:120" ht="53.25" customHeight="1" x14ac:dyDescent="0.25">
      <c r="A7" s="34"/>
      <c r="B7" s="37" t="s">
        <v>48</v>
      </c>
      <c r="C7" s="23" t="s">
        <v>49</v>
      </c>
      <c r="D7" s="24" t="s">
        <v>50</v>
      </c>
      <c r="E7" s="25">
        <v>510</v>
      </c>
      <c r="F7" s="26" t="s">
        <v>51</v>
      </c>
      <c r="G7" s="27">
        <f t="shared" si="0"/>
        <v>33576315</v>
      </c>
      <c r="H7" s="27"/>
      <c r="I7" s="27"/>
      <c r="J7" s="27">
        <f>21000000-21000000</f>
        <v>0</v>
      </c>
      <c r="K7" s="27"/>
      <c r="L7" s="27">
        <f>21000000</f>
        <v>21000000</v>
      </c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>
        <v>12576315</v>
      </c>
      <c r="AC7" s="29">
        <f t="shared" si="1"/>
        <v>5.5882100224518387E-2</v>
      </c>
      <c r="AD7" s="27">
        <f t="shared" si="2"/>
        <v>1876315</v>
      </c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>
        <f>+'[5]ENERO 2016'!$AD$520</f>
        <v>1876315</v>
      </c>
      <c r="AY7" s="29">
        <f t="shared" si="3"/>
        <v>0.94411789977548166</v>
      </c>
      <c r="AZ7" s="27">
        <f t="shared" si="4"/>
        <v>31700000</v>
      </c>
      <c r="BA7" s="27">
        <f t="shared" si="5"/>
        <v>0</v>
      </c>
      <c r="BB7" s="27">
        <f t="shared" si="5"/>
        <v>0</v>
      </c>
      <c r="BC7" s="27">
        <f t="shared" si="6"/>
        <v>0</v>
      </c>
      <c r="BD7" s="27">
        <f t="shared" si="6"/>
        <v>0</v>
      </c>
      <c r="BE7" s="27">
        <f t="shared" si="7"/>
        <v>21000000</v>
      </c>
      <c r="BF7" s="27">
        <f t="shared" si="7"/>
        <v>0</v>
      </c>
      <c r="BG7" s="27">
        <f t="shared" si="7"/>
        <v>0</v>
      </c>
      <c r="BH7" s="27">
        <f t="shared" si="7"/>
        <v>0</v>
      </c>
      <c r="BI7" s="27">
        <f t="shared" si="7"/>
        <v>0</v>
      </c>
      <c r="BJ7" s="27">
        <f t="shared" si="7"/>
        <v>0</v>
      </c>
      <c r="BK7" s="27">
        <f t="shared" si="7"/>
        <v>0</v>
      </c>
      <c r="BL7" s="27">
        <f t="shared" si="7"/>
        <v>0</v>
      </c>
      <c r="BM7" s="27">
        <f t="shared" si="7"/>
        <v>0</v>
      </c>
      <c r="BN7" s="27">
        <f t="shared" si="7"/>
        <v>0</v>
      </c>
      <c r="BO7" s="27">
        <f t="shared" si="7"/>
        <v>0</v>
      </c>
      <c r="BP7" s="27">
        <f t="shared" si="7"/>
        <v>0</v>
      </c>
      <c r="BQ7" s="27"/>
      <c r="BR7" s="27"/>
      <c r="BS7" s="27">
        <f t="shared" si="8"/>
        <v>0</v>
      </c>
      <c r="BT7" s="27">
        <f t="shared" si="9"/>
        <v>10700000</v>
      </c>
      <c r="BU7" s="29">
        <f t="shared" si="10"/>
        <v>2.3497754294954643E-2</v>
      </c>
      <c r="BV7" s="27">
        <f t="shared" si="11"/>
        <v>788968</v>
      </c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>
        <v>788968</v>
      </c>
      <c r="CQ7" s="29">
        <f t="shared" si="12"/>
        <v>0.9765022457050454</v>
      </c>
      <c r="CR7" s="27">
        <f t="shared" si="13"/>
        <v>32787347</v>
      </c>
      <c r="CS7" s="27">
        <f t="shared" si="14"/>
        <v>0</v>
      </c>
      <c r="CT7" s="27">
        <f t="shared" si="14"/>
        <v>0</v>
      </c>
      <c r="CU7" s="27">
        <f t="shared" si="14"/>
        <v>0</v>
      </c>
      <c r="CV7" s="27">
        <f t="shared" si="14"/>
        <v>0</v>
      </c>
      <c r="CW7" s="27">
        <f t="shared" si="14"/>
        <v>21000000</v>
      </c>
      <c r="CX7" s="27">
        <f t="shared" si="14"/>
        <v>0</v>
      </c>
      <c r="CY7" s="27">
        <f t="shared" si="14"/>
        <v>0</v>
      </c>
      <c r="CZ7" s="27">
        <f t="shared" si="15"/>
        <v>0</v>
      </c>
      <c r="DA7" s="27">
        <f t="shared" si="15"/>
        <v>0</v>
      </c>
      <c r="DB7" s="27">
        <f t="shared" si="15"/>
        <v>0</v>
      </c>
      <c r="DC7" s="27">
        <f t="shared" si="16"/>
        <v>0</v>
      </c>
      <c r="DD7" s="27">
        <f t="shared" si="16"/>
        <v>0</v>
      </c>
      <c r="DE7" s="27">
        <f t="shared" si="16"/>
        <v>0</v>
      </c>
      <c r="DF7" s="27">
        <f t="shared" si="17"/>
        <v>0</v>
      </c>
      <c r="DG7" s="27">
        <f t="shared" si="17"/>
        <v>0</v>
      </c>
      <c r="DH7" s="27">
        <f t="shared" si="17"/>
        <v>0</v>
      </c>
      <c r="DI7" s="27"/>
      <c r="DJ7" s="27">
        <f t="shared" si="18"/>
        <v>0</v>
      </c>
      <c r="DK7" s="27">
        <f t="shared" si="18"/>
        <v>0</v>
      </c>
      <c r="DL7" s="27">
        <f t="shared" si="18"/>
        <v>11787347</v>
      </c>
      <c r="DN7" s="33">
        <f t="shared" si="19"/>
        <v>33576315</v>
      </c>
      <c r="DO7" s="33">
        <f t="shared" si="20"/>
        <v>33576315</v>
      </c>
      <c r="DP7" s="33">
        <f t="shared" si="21"/>
        <v>33576315</v>
      </c>
    </row>
    <row r="8" spans="1:120" ht="54.75" customHeight="1" x14ac:dyDescent="0.25">
      <c r="A8" s="34"/>
      <c r="B8" s="212" t="s">
        <v>52</v>
      </c>
      <c r="C8" s="23" t="s">
        <v>53</v>
      </c>
      <c r="D8" s="24" t="s">
        <v>54</v>
      </c>
      <c r="E8" s="25">
        <v>310</v>
      </c>
      <c r="F8" s="26" t="s">
        <v>43</v>
      </c>
      <c r="G8" s="27">
        <f t="shared" si="0"/>
        <v>200000000</v>
      </c>
      <c r="H8" s="27"/>
      <c r="I8" s="27"/>
      <c r="J8" s="27">
        <f>200000000-193378600</f>
        <v>6621400</v>
      </c>
      <c r="K8" s="27"/>
      <c r="L8" s="27">
        <f>193378600</f>
        <v>193378600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C8" s="29">
        <f t="shared" si="1"/>
        <v>0.99987499999999996</v>
      </c>
      <c r="AD8" s="27">
        <f t="shared" si="2"/>
        <v>199975000</v>
      </c>
      <c r="AE8" s="27"/>
      <c r="AF8" s="27"/>
      <c r="AG8" s="27">
        <f>+'[5]ENERO 2016'!$M$109</f>
        <v>6621400</v>
      </c>
      <c r="AH8" s="27"/>
      <c r="AI8" s="27">
        <f>+'[6]FEBRERO 2016'!$O$125</f>
        <v>193353600</v>
      </c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9">
        <f t="shared" si="3"/>
        <v>1.2500000000004174E-4</v>
      </c>
      <c r="AZ8" s="27">
        <f t="shared" si="4"/>
        <v>25000</v>
      </c>
      <c r="BA8" s="27">
        <f t="shared" si="5"/>
        <v>0</v>
      </c>
      <c r="BB8" s="27">
        <f t="shared" si="5"/>
        <v>0</v>
      </c>
      <c r="BC8" s="27">
        <f t="shared" si="6"/>
        <v>0</v>
      </c>
      <c r="BD8" s="27">
        <f t="shared" si="6"/>
        <v>0</v>
      </c>
      <c r="BE8" s="27">
        <f t="shared" si="7"/>
        <v>25000</v>
      </c>
      <c r="BF8" s="27">
        <f t="shared" si="7"/>
        <v>0</v>
      </c>
      <c r="BG8" s="27">
        <f t="shared" si="7"/>
        <v>0</v>
      </c>
      <c r="BH8" s="27">
        <f t="shared" si="7"/>
        <v>0</v>
      </c>
      <c r="BI8" s="27">
        <f t="shared" si="7"/>
        <v>0</v>
      </c>
      <c r="BJ8" s="27">
        <f t="shared" si="7"/>
        <v>0</v>
      </c>
      <c r="BK8" s="27">
        <f t="shared" si="7"/>
        <v>0</v>
      </c>
      <c r="BL8" s="27">
        <f t="shared" si="7"/>
        <v>0</v>
      </c>
      <c r="BM8" s="27">
        <f t="shared" si="7"/>
        <v>0</v>
      </c>
      <c r="BN8" s="27">
        <f t="shared" si="7"/>
        <v>0</v>
      </c>
      <c r="BO8" s="27">
        <f t="shared" si="7"/>
        <v>0</v>
      </c>
      <c r="BP8" s="27">
        <f t="shared" si="7"/>
        <v>0</v>
      </c>
      <c r="BQ8" s="27"/>
      <c r="BR8" s="27"/>
      <c r="BS8" s="27">
        <f t="shared" si="8"/>
        <v>0</v>
      </c>
      <c r="BT8" s="27">
        <f t="shared" si="9"/>
        <v>0</v>
      </c>
      <c r="BU8" s="29">
        <f t="shared" si="10"/>
        <v>0.56338447000000003</v>
      </c>
      <c r="BV8" s="27">
        <f t="shared" si="11"/>
        <v>112676894</v>
      </c>
      <c r="BW8" s="27"/>
      <c r="BX8" s="27"/>
      <c r="BY8" s="27">
        <f>+'[5]ENERO 2016'!$H$107</f>
        <v>6621400</v>
      </c>
      <c r="BZ8" s="27"/>
      <c r="CA8" s="27">
        <f>+'[3]MAYO 2016'!$H$206+'[3]MAYO 2016'!$H$207+'[3]MAYO 2016'!$H$209</f>
        <v>106055494</v>
      </c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9">
        <f t="shared" si="12"/>
        <v>0.43661552999999997</v>
      </c>
      <c r="CR8" s="27">
        <f t="shared" si="13"/>
        <v>87323106</v>
      </c>
      <c r="CS8" s="27">
        <f t="shared" si="14"/>
        <v>0</v>
      </c>
      <c r="CT8" s="27">
        <f t="shared" si="14"/>
        <v>0</v>
      </c>
      <c r="CU8" s="27">
        <f t="shared" si="14"/>
        <v>0</v>
      </c>
      <c r="CV8" s="27">
        <f t="shared" si="14"/>
        <v>0</v>
      </c>
      <c r="CW8" s="27">
        <f t="shared" si="14"/>
        <v>87323106</v>
      </c>
      <c r="CX8" s="27">
        <f t="shared" si="14"/>
        <v>0</v>
      </c>
      <c r="CY8" s="27">
        <f t="shared" si="14"/>
        <v>0</v>
      </c>
      <c r="CZ8" s="27">
        <f t="shared" si="15"/>
        <v>0</v>
      </c>
      <c r="DA8" s="27">
        <f t="shared" si="15"/>
        <v>0</v>
      </c>
      <c r="DB8" s="27">
        <f t="shared" si="15"/>
        <v>0</v>
      </c>
      <c r="DC8" s="27">
        <f t="shared" si="16"/>
        <v>0</v>
      </c>
      <c r="DD8" s="27">
        <f t="shared" si="16"/>
        <v>0</v>
      </c>
      <c r="DE8" s="27">
        <f t="shared" si="16"/>
        <v>0</v>
      </c>
      <c r="DF8" s="27">
        <f t="shared" si="17"/>
        <v>0</v>
      </c>
      <c r="DG8" s="27">
        <f t="shared" si="17"/>
        <v>0</v>
      </c>
      <c r="DH8" s="27">
        <f t="shared" si="17"/>
        <v>0</v>
      </c>
      <c r="DI8" s="27"/>
      <c r="DJ8" s="27">
        <f t="shared" si="18"/>
        <v>0</v>
      </c>
      <c r="DK8" s="27">
        <f t="shared" si="18"/>
        <v>0</v>
      </c>
      <c r="DL8" s="27">
        <f t="shared" si="18"/>
        <v>0</v>
      </c>
      <c r="DN8" s="33">
        <f t="shared" si="19"/>
        <v>200000000</v>
      </c>
      <c r="DO8" s="33">
        <f t="shared" si="20"/>
        <v>200000000</v>
      </c>
      <c r="DP8" s="33">
        <f t="shared" si="21"/>
        <v>200000000</v>
      </c>
    </row>
    <row r="9" spans="1:120" ht="54.75" customHeight="1" x14ac:dyDescent="0.25">
      <c r="A9" s="34"/>
      <c r="B9" s="225"/>
      <c r="C9" s="23" t="s">
        <v>55</v>
      </c>
      <c r="D9" s="24" t="s">
        <v>56</v>
      </c>
      <c r="E9" s="25">
        <v>310</v>
      </c>
      <c r="F9" s="26" t="s">
        <v>57</v>
      </c>
      <c r="G9" s="27">
        <f t="shared" si="0"/>
        <v>532200000</v>
      </c>
      <c r="H9" s="27"/>
      <c r="I9" s="27"/>
      <c r="J9" s="27">
        <f>150000000+21000000+193378600</f>
        <v>364378600</v>
      </c>
      <c r="K9" s="27"/>
      <c r="L9" s="27">
        <f>370000000-21000000-193378600-30800000</f>
        <v>124821400</v>
      </c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>
        <f>30000000+12000000+1000000</f>
        <v>43000000</v>
      </c>
      <c r="AB9" s="38"/>
      <c r="AC9" s="29">
        <f t="shared" si="1"/>
        <v>0.23525290680195415</v>
      </c>
      <c r="AD9" s="27">
        <f t="shared" si="2"/>
        <v>125201597</v>
      </c>
      <c r="AE9" s="27"/>
      <c r="AF9" s="27"/>
      <c r="AG9" s="27">
        <f>+'[1]JUNIO 2016'!$M$264</f>
        <v>43664537</v>
      </c>
      <c r="AH9" s="27"/>
      <c r="AI9" s="27">
        <f>+'[1]JUNIO 2016'!$O$264</f>
        <v>70926559</v>
      </c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>
        <f>+'[1]JUNIO 2016'!$AG$264</f>
        <v>10610501</v>
      </c>
      <c r="AY9" s="29">
        <f t="shared" si="3"/>
        <v>0.76474709319804579</v>
      </c>
      <c r="AZ9" s="27">
        <f t="shared" si="4"/>
        <v>406998403</v>
      </c>
      <c r="BA9" s="27">
        <f t="shared" si="5"/>
        <v>0</v>
      </c>
      <c r="BB9" s="27">
        <f t="shared" si="5"/>
        <v>0</v>
      </c>
      <c r="BC9" s="27">
        <f t="shared" si="6"/>
        <v>320714063</v>
      </c>
      <c r="BD9" s="27">
        <f t="shared" si="6"/>
        <v>0</v>
      </c>
      <c r="BE9" s="27">
        <f t="shared" si="7"/>
        <v>53894841</v>
      </c>
      <c r="BF9" s="27">
        <f t="shared" si="7"/>
        <v>0</v>
      </c>
      <c r="BG9" s="27">
        <f t="shared" si="7"/>
        <v>0</v>
      </c>
      <c r="BH9" s="27">
        <f t="shared" si="7"/>
        <v>0</v>
      </c>
      <c r="BI9" s="27">
        <f t="shared" si="7"/>
        <v>0</v>
      </c>
      <c r="BJ9" s="27">
        <f t="shared" si="7"/>
        <v>0</v>
      </c>
      <c r="BK9" s="27">
        <f t="shared" si="7"/>
        <v>0</v>
      </c>
      <c r="BL9" s="27">
        <f t="shared" si="7"/>
        <v>0</v>
      </c>
      <c r="BM9" s="27">
        <f t="shared" si="7"/>
        <v>0</v>
      </c>
      <c r="BN9" s="27">
        <f t="shared" si="7"/>
        <v>0</v>
      </c>
      <c r="BO9" s="27">
        <f t="shared" si="7"/>
        <v>0</v>
      </c>
      <c r="BP9" s="27">
        <f t="shared" si="7"/>
        <v>0</v>
      </c>
      <c r="BQ9" s="27"/>
      <c r="BR9" s="27"/>
      <c r="BS9" s="27">
        <f t="shared" si="8"/>
        <v>0</v>
      </c>
      <c r="BT9" s="27">
        <f t="shared" si="9"/>
        <v>32389499</v>
      </c>
      <c r="BU9" s="29">
        <f t="shared" si="10"/>
        <v>0.23514831454340474</v>
      </c>
      <c r="BV9" s="27">
        <f t="shared" si="11"/>
        <v>125145933</v>
      </c>
      <c r="BW9" s="27"/>
      <c r="BX9" s="27"/>
      <c r="BY9" s="27">
        <f>+'[1]JUNIO 2016'!$M$264</f>
        <v>43664537</v>
      </c>
      <c r="BZ9" s="27"/>
      <c r="CA9" s="27">
        <f>+'[1]JUNIO 2016'!$O$264</f>
        <v>70926559</v>
      </c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>
        <f>+'[1]JUNIO 2016'!$H$333+'[1]JUNIO 2016'!$H$359+'[1]JUNIO 2016'!$H$363+'[1]JUNIO 2016'!$H$366+'[1]JUNIO 2016'!$H$374+'[1]JUNIO 2016'!$H$382+'[1]JUNIO 2016'!$H$384</f>
        <v>10554837</v>
      </c>
      <c r="CQ9" s="29">
        <f t="shared" si="12"/>
        <v>0.76485168545659521</v>
      </c>
      <c r="CR9" s="27">
        <f t="shared" si="13"/>
        <v>407054067</v>
      </c>
      <c r="CS9" s="27">
        <f t="shared" si="14"/>
        <v>0</v>
      </c>
      <c r="CT9" s="27">
        <f t="shared" si="14"/>
        <v>0</v>
      </c>
      <c r="CU9" s="27">
        <f t="shared" si="14"/>
        <v>320714063</v>
      </c>
      <c r="CV9" s="27">
        <f t="shared" si="14"/>
        <v>0</v>
      </c>
      <c r="CW9" s="27">
        <f t="shared" si="14"/>
        <v>53894841</v>
      </c>
      <c r="CX9" s="27">
        <f t="shared" si="14"/>
        <v>0</v>
      </c>
      <c r="CY9" s="27">
        <f t="shared" si="14"/>
        <v>0</v>
      </c>
      <c r="CZ9" s="27">
        <f t="shared" si="15"/>
        <v>0</v>
      </c>
      <c r="DA9" s="27">
        <f t="shared" si="15"/>
        <v>0</v>
      </c>
      <c r="DB9" s="27">
        <f t="shared" si="15"/>
        <v>0</v>
      </c>
      <c r="DC9" s="27">
        <f t="shared" si="16"/>
        <v>0</v>
      </c>
      <c r="DD9" s="27">
        <f t="shared" si="16"/>
        <v>0</v>
      </c>
      <c r="DE9" s="27">
        <f t="shared" si="16"/>
        <v>0</v>
      </c>
      <c r="DF9" s="27">
        <f t="shared" si="17"/>
        <v>0</v>
      </c>
      <c r="DG9" s="27">
        <f t="shared" si="17"/>
        <v>0</v>
      </c>
      <c r="DH9" s="27">
        <f t="shared" si="17"/>
        <v>0</v>
      </c>
      <c r="DI9" s="27"/>
      <c r="DJ9" s="27">
        <f t="shared" si="18"/>
        <v>0</v>
      </c>
      <c r="DK9" s="27">
        <f t="shared" si="18"/>
        <v>0</v>
      </c>
      <c r="DL9" s="27">
        <f t="shared" si="18"/>
        <v>32445163</v>
      </c>
      <c r="DN9" s="33">
        <f t="shared" si="19"/>
        <v>532200000</v>
      </c>
      <c r="DO9" s="33">
        <f t="shared" si="20"/>
        <v>532200000</v>
      </c>
      <c r="DP9" s="33">
        <f t="shared" si="21"/>
        <v>532200000</v>
      </c>
    </row>
    <row r="10" spans="1:120" ht="30.75" customHeight="1" x14ac:dyDescent="0.25">
      <c r="A10" s="34"/>
      <c r="B10" s="225"/>
      <c r="C10" s="23" t="s">
        <v>58</v>
      </c>
      <c r="D10" s="24" t="s">
        <v>59</v>
      </c>
      <c r="E10" s="25">
        <v>310</v>
      </c>
      <c r="F10" s="26" t="s">
        <v>43</v>
      </c>
      <c r="G10" s="27">
        <f t="shared" si="0"/>
        <v>15000000</v>
      </c>
      <c r="H10" s="27"/>
      <c r="I10" s="27"/>
      <c r="J10" s="27"/>
      <c r="K10" s="27"/>
      <c r="L10" s="27">
        <v>15000000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38"/>
      <c r="AC10" s="29">
        <f t="shared" si="1"/>
        <v>1</v>
      </c>
      <c r="AD10" s="27">
        <f t="shared" si="2"/>
        <v>15000000</v>
      </c>
      <c r="AE10" s="27"/>
      <c r="AF10" s="27"/>
      <c r="AG10" s="27"/>
      <c r="AH10" s="27"/>
      <c r="AI10" s="27">
        <f>+'[1]JUNIO 2016'!$O$388</f>
        <v>15000000</v>
      </c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9">
        <f t="shared" si="3"/>
        <v>0</v>
      </c>
      <c r="AZ10" s="27">
        <f t="shared" si="4"/>
        <v>0</v>
      </c>
      <c r="BA10" s="27">
        <f t="shared" si="5"/>
        <v>0</v>
      </c>
      <c r="BB10" s="27">
        <f t="shared" ref="BB10:BB16" si="22">I10-AF10</f>
        <v>0</v>
      </c>
      <c r="BC10" s="27">
        <f t="shared" si="6"/>
        <v>0</v>
      </c>
      <c r="BD10" s="27">
        <f t="shared" si="6"/>
        <v>0</v>
      </c>
      <c r="BE10" s="27">
        <f t="shared" si="7"/>
        <v>0</v>
      </c>
      <c r="BF10" s="27">
        <f t="shared" si="7"/>
        <v>0</v>
      </c>
      <c r="BG10" s="27">
        <f t="shared" si="7"/>
        <v>0</v>
      </c>
      <c r="BH10" s="27">
        <f t="shared" si="7"/>
        <v>0</v>
      </c>
      <c r="BI10" s="27">
        <f t="shared" si="7"/>
        <v>0</v>
      </c>
      <c r="BJ10" s="27">
        <f t="shared" si="7"/>
        <v>0</v>
      </c>
      <c r="BK10" s="27">
        <f t="shared" si="7"/>
        <v>0</v>
      </c>
      <c r="BL10" s="27">
        <f t="shared" si="7"/>
        <v>0</v>
      </c>
      <c r="BM10" s="27">
        <f t="shared" si="7"/>
        <v>0</v>
      </c>
      <c r="BN10" s="27">
        <f t="shared" si="7"/>
        <v>0</v>
      </c>
      <c r="BO10" s="27">
        <f t="shared" si="7"/>
        <v>0</v>
      </c>
      <c r="BP10" s="27">
        <f t="shared" si="7"/>
        <v>0</v>
      </c>
      <c r="BQ10" s="27"/>
      <c r="BR10" s="27"/>
      <c r="BS10" s="27">
        <f t="shared" si="8"/>
        <v>0</v>
      </c>
      <c r="BT10" s="27">
        <f t="shared" si="9"/>
        <v>0</v>
      </c>
      <c r="BU10" s="29">
        <f t="shared" si="10"/>
        <v>0</v>
      </c>
      <c r="BV10" s="27">
        <f t="shared" si="11"/>
        <v>0</v>
      </c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9">
        <f t="shared" si="12"/>
        <v>1</v>
      </c>
      <c r="CR10" s="27">
        <f t="shared" si="13"/>
        <v>15000000</v>
      </c>
      <c r="CS10" s="27">
        <f t="shared" si="14"/>
        <v>0</v>
      </c>
      <c r="CT10" s="27">
        <f t="shared" si="14"/>
        <v>0</v>
      </c>
      <c r="CU10" s="27">
        <f t="shared" si="14"/>
        <v>0</v>
      </c>
      <c r="CV10" s="27">
        <f t="shared" si="14"/>
        <v>0</v>
      </c>
      <c r="CW10" s="27">
        <f t="shared" si="14"/>
        <v>15000000</v>
      </c>
      <c r="CX10" s="27">
        <f t="shared" si="14"/>
        <v>0</v>
      </c>
      <c r="CY10" s="27">
        <f t="shared" si="14"/>
        <v>0</v>
      </c>
      <c r="CZ10" s="27">
        <f t="shared" si="15"/>
        <v>0</v>
      </c>
      <c r="DA10" s="27">
        <f t="shared" si="15"/>
        <v>0</v>
      </c>
      <c r="DB10" s="27">
        <f t="shared" si="15"/>
        <v>0</v>
      </c>
      <c r="DC10" s="27">
        <f t="shared" si="16"/>
        <v>0</v>
      </c>
      <c r="DD10" s="27">
        <f t="shared" si="16"/>
        <v>0</v>
      </c>
      <c r="DE10" s="27">
        <f t="shared" si="16"/>
        <v>0</v>
      </c>
      <c r="DF10" s="27">
        <f t="shared" si="17"/>
        <v>0</v>
      </c>
      <c r="DG10" s="27">
        <f t="shared" si="17"/>
        <v>0</v>
      </c>
      <c r="DH10" s="27">
        <f t="shared" si="17"/>
        <v>0</v>
      </c>
      <c r="DI10" s="27"/>
      <c r="DJ10" s="27">
        <f t="shared" si="18"/>
        <v>0</v>
      </c>
      <c r="DK10" s="27">
        <f t="shared" si="18"/>
        <v>0</v>
      </c>
      <c r="DL10" s="27">
        <f t="shared" si="18"/>
        <v>0</v>
      </c>
      <c r="DN10" s="33">
        <f t="shared" si="19"/>
        <v>15000000</v>
      </c>
      <c r="DO10" s="33">
        <f t="shared" si="20"/>
        <v>15000000</v>
      </c>
      <c r="DP10" s="33">
        <f t="shared" si="21"/>
        <v>15000000</v>
      </c>
    </row>
    <row r="11" spans="1:120" ht="30" x14ac:dyDescent="0.25">
      <c r="A11" s="34"/>
      <c r="B11" s="225"/>
      <c r="C11" s="23" t="s">
        <v>60</v>
      </c>
      <c r="D11" s="24" t="s">
        <v>61</v>
      </c>
      <c r="E11" s="25">
        <v>310</v>
      </c>
      <c r="F11" s="26" t="s">
        <v>43</v>
      </c>
      <c r="G11" s="27">
        <f t="shared" si="0"/>
        <v>50000000</v>
      </c>
      <c r="H11" s="27"/>
      <c r="I11" s="39"/>
      <c r="J11" s="27">
        <v>50000000</v>
      </c>
      <c r="K11" s="39"/>
      <c r="L11" s="39"/>
      <c r="M11" s="27"/>
      <c r="N11" s="39"/>
      <c r="O11" s="32"/>
      <c r="P11" s="32"/>
      <c r="Q11" s="32"/>
      <c r="R11" s="32"/>
      <c r="S11" s="32"/>
      <c r="T11" s="32"/>
      <c r="U11" s="27"/>
      <c r="V11" s="32"/>
      <c r="W11" s="32"/>
      <c r="X11" s="32"/>
      <c r="Y11" s="32"/>
      <c r="Z11" s="32"/>
      <c r="AA11" s="39"/>
      <c r="AB11" s="38"/>
      <c r="AC11" s="29">
        <f t="shared" si="1"/>
        <v>0</v>
      </c>
      <c r="AD11" s="27">
        <f t="shared" si="2"/>
        <v>0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9">
        <f t="shared" si="3"/>
        <v>1</v>
      </c>
      <c r="AZ11" s="27">
        <f t="shared" si="4"/>
        <v>50000000</v>
      </c>
      <c r="BA11" s="27">
        <f t="shared" si="5"/>
        <v>0</v>
      </c>
      <c r="BB11" s="27">
        <f t="shared" si="22"/>
        <v>0</v>
      </c>
      <c r="BC11" s="27">
        <f t="shared" si="6"/>
        <v>50000000</v>
      </c>
      <c r="BD11" s="27">
        <f t="shared" si="6"/>
        <v>0</v>
      </c>
      <c r="BE11" s="27">
        <f t="shared" si="7"/>
        <v>0</v>
      </c>
      <c r="BF11" s="27">
        <f t="shared" si="7"/>
        <v>0</v>
      </c>
      <c r="BG11" s="27">
        <f t="shared" si="7"/>
        <v>0</v>
      </c>
      <c r="BH11" s="27">
        <f t="shared" si="7"/>
        <v>0</v>
      </c>
      <c r="BI11" s="27">
        <f t="shared" si="7"/>
        <v>0</v>
      </c>
      <c r="BJ11" s="27">
        <f t="shared" si="7"/>
        <v>0</v>
      </c>
      <c r="BK11" s="27">
        <f t="shared" si="7"/>
        <v>0</v>
      </c>
      <c r="BL11" s="27">
        <f t="shared" si="7"/>
        <v>0</v>
      </c>
      <c r="BM11" s="27">
        <f t="shared" si="7"/>
        <v>0</v>
      </c>
      <c r="BN11" s="27">
        <f t="shared" si="7"/>
        <v>0</v>
      </c>
      <c r="BO11" s="27">
        <f t="shared" si="7"/>
        <v>0</v>
      </c>
      <c r="BP11" s="27">
        <f t="shared" si="7"/>
        <v>0</v>
      </c>
      <c r="BQ11" s="27"/>
      <c r="BR11" s="27"/>
      <c r="BS11" s="27">
        <f t="shared" si="8"/>
        <v>0</v>
      </c>
      <c r="BT11" s="27">
        <f t="shared" si="9"/>
        <v>0</v>
      </c>
      <c r="BU11" s="29">
        <f t="shared" si="10"/>
        <v>0</v>
      </c>
      <c r="BV11" s="27">
        <f t="shared" si="11"/>
        <v>0</v>
      </c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9">
        <f t="shared" si="12"/>
        <v>1</v>
      </c>
      <c r="CR11" s="27">
        <f t="shared" si="13"/>
        <v>50000000</v>
      </c>
      <c r="CS11" s="27">
        <f t="shared" si="14"/>
        <v>0</v>
      </c>
      <c r="CT11" s="27">
        <f t="shared" si="14"/>
        <v>0</v>
      </c>
      <c r="CU11" s="27">
        <f t="shared" si="14"/>
        <v>50000000</v>
      </c>
      <c r="CV11" s="27">
        <f t="shared" si="14"/>
        <v>0</v>
      </c>
      <c r="CW11" s="27">
        <f t="shared" si="14"/>
        <v>0</v>
      </c>
      <c r="CX11" s="27">
        <f t="shared" si="14"/>
        <v>0</v>
      </c>
      <c r="CY11" s="27">
        <f t="shared" si="14"/>
        <v>0</v>
      </c>
      <c r="CZ11" s="27">
        <f t="shared" si="15"/>
        <v>0</v>
      </c>
      <c r="DA11" s="27">
        <f t="shared" si="15"/>
        <v>0</v>
      </c>
      <c r="DB11" s="27">
        <f t="shared" si="15"/>
        <v>0</v>
      </c>
      <c r="DC11" s="27">
        <f t="shared" si="16"/>
        <v>0</v>
      </c>
      <c r="DD11" s="27">
        <f t="shared" si="16"/>
        <v>0</v>
      </c>
      <c r="DE11" s="27">
        <f t="shared" si="16"/>
        <v>0</v>
      </c>
      <c r="DF11" s="27">
        <f t="shared" si="17"/>
        <v>0</v>
      </c>
      <c r="DG11" s="27">
        <f t="shared" si="17"/>
        <v>0</v>
      </c>
      <c r="DH11" s="27">
        <f t="shared" si="17"/>
        <v>0</v>
      </c>
      <c r="DI11" s="27"/>
      <c r="DJ11" s="27">
        <f t="shared" si="18"/>
        <v>0</v>
      </c>
      <c r="DK11" s="27">
        <f t="shared" si="18"/>
        <v>0</v>
      </c>
      <c r="DL11" s="27">
        <f t="shared" si="18"/>
        <v>0</v>
      </c>
      <c r="DN11" s="33">
        <f t="shared" si="19"/>
        <v>50000000</v>
      </c>
      <c r="DO11" s="33">
        <f t="shared" si="20"/>
        <v>50000000</v>
      </c>
      <c r="DP11" s="33">
        <f t="shared" si="21"/>
        <v>50000000</v>
      </c>
    </row>
    <row r="12" spans="1:120" ht="24.75" customHeight="1" x14ac:dyDescent="0.25">
      <c r="A12" s="34"/>
      <c r="B12" s="213"/>
      <c r="C12" s="23" t="s">
        <v>62</v>
      </c>
      <c r="D12" s="24" t="s">
        <v>63</v>
      </c>
      <c r="E12" s="25">
        <v>310</v>
      </c>
      <c r="F12" s="26" t="s">
        <v>43</v>
      </c>
      <c r="G12" s="27">
        <f t="shared" si="0"/>
        <v>10000000</v>
      </c>
      <c r="H12" s="27"/>
      <c r="I12" s="39"/>
      <c r="J12" s="27"/>
      <c r="K12" s="39"/>
      <c r="L12" s="27">
        <v>10000000</v>
      </c>
      <c r="M12" s="27"/>
      <c r="N12" s="39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9"/>
      <c r="AB12" s="38"/>
      <c r="AC12" s="29">
        <f t="shared" si="1"/>
        <v>1</v>
      </c>
      <c r="AD12" s="27">
        <f t="shared" si="2"/>
        <v>10000000</v>
      </c>
      <c r="AE12" s="27"/>
      <c r="AF12" s="27"/>
      <c r="AG12" s="27"/>
      <c r="AH12" s="27"/>
      <c r="AI12" s="27">
        <f>+'[1]JUNIO 2016'!$O$399</f>
        <v>10000000</v>
      </c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9">
        <f t="shared" si="3"/>
        <v>0</v>
      </c>
      <c r="AZ12" s="27">
        <f t="shared" si="4"/>
        <v>0</v>
      </c>
      <c r="BA12" s="27">
        <f t="shared" si="5"/>
        <v>0</v>
      </c>
      <c r="BB12" s="27">
        <f t="shared" si="22"/>
        <v>0</v>
      </c>
      <c r="BC12" s="27">
        <f t="shared" si="6"/>
        <v>0</v>
      </c>
      <c r="BD12" s="27">
        <f t="shared" si="6"/>
        <v>0</v>
      </c>
      <c r="BE12" s="27">
        <f t="shared" si="7"/>
        <v>0</v>
      </c>
      <c r="BF12" s="27">
        <f t="shared" si="7"/>
        <v>0</v>
      </c>
      <c r="BG12" s="27">
        <f t="shared" si="7"/>
        <v>0</v>
      </c>
      <c r="BH12" s="27">
        <f t="shared" si="7"/>
        <v>0</v>
      </c>
      <c r="BI12" s="27">
        <f t="shared" si="7"/>
        <v>0</v>
      </c>
      <c r="BJ12" s="27">
        <f t="shared" si="7"/>
        <v>0</v>
      </c>
      <c r="BK12" s="27">
        <f t="shared" si="7"/>
        <v>0</v>
      </c>
      <c r="BL12" s="27">
        <f t="shared" si="7"/>
        <v>0</v>
      </c>
      <c r="BM12" s="27">
        <f t="shared" si="7"/>
        <v>0</v>
      </c>
      <c r="BN12" s="27">
        <f t="shared" si="7"/>
        <v>0</v>
      </c>
      <c r="BO12" s="27">
        <f t="shared" si="7"/>
        <v>0</v>
      </c>
      <c r="BP12" s="27">
        <f t="shared" si="7"/>
        <v>0</v>
      </c>
      <c r="BQ12" s="27"/>
      <c r="BR12" s="27"/>
      <c r="BS12" s="27">
        <f t="shared" si="8"/>
        <v>0</v>
      </c>
      <c r="BT12" s="27">
        <f t="shared" si="9"/>
        <v>0</v>
      </c>
      <c r="BU12" s="29">
        <f t="shared" si="10"/>
        <v>0</v>
      </c>
      <c r="BV12" s="27">
        <f t="shared" si="11"/>
        <v>0</v>
      </c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9">
        <f t="shared" si="12"/>
        <v>1</v>
      </c>
      <c r="CR12" s="27">
        <f t="shared" si="13"/>
        <v>10000000</v>
      </c>
      <c r="CS12" s="27">
        <f t="shared" si="14"/>
        <v>0</v>
      </c>
      <c r="CT12" s="27">
        <f t="shared" si="14"/>
        <v>0</v>
      </c>
      <c r="CU12" s="27">
        <f t="shared" si="14"/>
        <v>0</v>
      </c>
      <c r="CV12" s="27">
        <f t="shared" si="14"/>
        <v>0</v>
      </c>
      <c r="CW12" s="27">
        <f t="shared" si="14"/>
        <v>10000000</v>
      </c>
      <c r="CX12" s="27">
        <f t="shared" si="14"/>
        <v>0</v>
      </c>
      <c r="CY12" s="27">
        <f t="shared" si="14"/>
        <v>0</v>
      </c>
      <c r="CZ12" s="27">
        <f t="shared" si="15"/>
        <v>0</v>
      </c>
      <c r="DA12" s="27">
        <f t="shared" si="15"/>
        <v>0</v>
      </c>
      <c r="DB12" s="27">
        <f t="shared" si="15"/>
        <v>0</v>
      </c>
      <c r="DC12" s="27">
        <f t="shared" si="16"/>
        <v>0</v>
      </c>
      <c r="DD12" s="27">
        <f t="shared" si="16"/>
        <v>0</v>
      </c>
      <c r="DE12" s="27">
        <f t="shared" si="16"/>
        <v>0</v>
      </c>
      <c r="DF12" s="27">
        <f t="shared" si="17"/>
        <v>0</v>
      </c>
      <c r="DG12" s="27">
        <f t="shared" si="17"/>
        <v>0</v>
      </c>
      <c r="DH12" s="27">
        <f t="shared" si="17"/>
        <v>0</v>
      </c>
      <c r="DI12" s="27"/>
      <c r="DJ12" s="27">
        <f t="shared" si="18"/>
        <v>0</v>
      </c>
      <c r="DK12" s="27">
        <f t="shared" si="18"/>
        <v>0</v>
      </c>
      <c r="DL12" s="27">
        <f t="shared" si="18"/>
        <v>0</v>
      </c>
      <c r="DN12" s="33">
        <f t="shared" si="19"/>
        <v>10000000</v>
      </c>
      <c r="DO12" s="33">
        <f t="shared" si="20"/>
        <v>10000000</v>
      </c>
      <c r="DP12" s="33">
        <f t="shared" si="21"/>
        <v>10000000</v>
      </c>
    </row>
    <row r="13" spans="1:120" ht="64.5" customHeight="1" x14ac:dyDescent="0.25">
      <c r="A13" s="34"/>
      <c r="B13" s="37" t="s">
        <v>64</v>
      </c>
      <c r="C13" s="23" t="s">
        <v>65</v>
      </c>
      <c r="D13" s="24" t="s">
        <v>66</v>
      </c>
      <c r="E13" s="25">
        <v>510</v>
      </c>
      <c r="F13" s="26" t="s">
        <v>67</v>
      </c>
      <c r="G13" s="27">
        <f t="shared" si="0"/>
        <v>228854662</v>
      </c>
      <c r="H13" s="27"/>
      <c r="I13" s="27"/>
      <c r="J13" s="27"/>
      <c r="K13" s="27"/>
      <c r="L13" s="27">
        <v>160000000</v>
      </c>
      <c r="M13" s="27">
        <v>14004396</v>
      </c>
      <c r="N13" s="27"/>
      <c r="O13" s="27"/>
      <c r="P13" s="27"/>
      <c r="Q13" s="27"/>
      <c r="R13" s="27"/>
      <c r="S13" s="27"/>
      <c r="T13" s="27"/>
      <c r="U13" s="27">
        <v>1796640</v>
      </c>
      <c r="V13" s="27"/>
      <c r="W13" s="27"/>
      <c r="X13" s="27"/>
      <c r="Y13" s="27"/>
      <c r="Z13" s="27"/>
      <c r="AA13" s="27">
        <f>48000000+2053626+3000000</f>
        <v>53053626</v>
      </c>
      <c r="AC13" s="29">
        <f t="shared" si="1"/>
        <v>0.96378017416136363</v>
      </c>
      <c r="AD13" s="27">
        <f t="shared" si="2"/>
        <v>220565586</v>
      </c>
      <c r="AE13" s="27"/>
      <c r="AF13" s="27"/>
      <c r="AG13" s="27"/>
      <c r="AH13" s="27"/>
      <c r="AI13" s="27">
        <v>160000000</v>
      </c>
      <c r="AJ13" s="27">
        <f>+'[6]FEBRERO 2016'!$P$697</f>
        <v>14004396</v>
      </c>
      <c r="AK13" s="27"/>
      <c r="AL13" s="27"/>
      <c r="AM13" s="27"/>
      <c r="AN13" s="27"/>
      <c r="AO13" s="27"/>
      <c r="AP13" s="27"/>
      <c r="AQ13" s="27"/>
      <c r="AR13" s="27">
        <f>+'[6]FEBRERO 2016'!$X$699</f>
        <v>1796640</v>
      </c>
      <c r="AS13" s="27"/>
      <c r="AT13" s="27"/>
      <c r="AU13" s="27"/>
      <c r="AV13" s="27"/>
      <c r="AW13" s="27"/>
      <c r="AX13" s="27">
        <f>+'[4]ABRIL 2016'!$AG$1142</f>
        <v>44764550</v>
      </c>
      <c r="AY13" s="29">
        <f t="shared" si="3"/>
        <v>3.6219825838636366E-2</v>
      </c>
      <c r="AZ13" s="27">
        <f t="shared" si="4"/>
        <v>8289076</v>
      </c>
      <c r="BA13" s="27">
        <f t="shared" si="5"/>
        <v>0</v>
      </c>
      <c r="BB13" s="27">
        <f t="shared" si="22"/>
        <v>0</v>
      </c>
      <c r="BC13" s="27">
        <f t="shared" si="6"/>
        <v>0</v>
      </c>
      <c r="BD13" s="27">
        <f t="shared" si="6"/>
        <v>0</v>
      </c>
      <c r="BE13" s="27">
        <f t="shared" si="7"/>
        <v>0</v>
      </c>
      <c r="BF13" s="27">
        <f t="shared" si="7"/>
        <v>0</v>
      </c>
      <c r="BG13" s="27">
        <f t="shared" si="7"/>
        <v>0</v>
      </c>
      <c r="BH13" s="27">
        <f t="shared" si="7"/>
        <v>0</v>
      </c>
      <c r="BI13" s="27">
        <f t="shared" si="7"/>
        <v>0</v>
      </c>
      <c r="BJ13" s="27">
        <f t="shared" si="7"/>
        <v>0</v>
      </c>
      <c r="BK13" s="27">
        <f t="shared" si="7"/>
        <v>0</v>
      </c>
      <c r="BL13" s="27">
        <f t="shared" si="7"/>
        <v>0</v>
      </c>
      <c r="BM13" s="27">
        <f t="shared" si="7"/>
        <v>0</v>
      </c>
      <c r="BN13" s="27">
        <f t="shared" si="7"/>
        <v>0</v>
      </c>
      <c r="BO13" s="27">
        <f t="shared" si="7"/>
        <v>0</v>
      </c>
      <c r="BP13" s="27">
        <f t="shared" si="7"/>
        <v>0</v>
      </c>
      <c r="BQ13" s="27"/>
      <c r="BR13" s="27"/>
      <c r="BS13" s="27">
        <f t="shared" si="8"/>
        <v>0</v>
      </c>
      <c r="BT13" s="27">
        <f t="shared" si="9"/>
        <v>8289076</v>
      </c>
      <c r="BU13" s="29">
        <f t="shared" si="10"/>
        <v>0.8894811939640539</v>
      </c>
      <c r="BV13" s="27">
        <f t="shared" si="11"/>
        <v>203561918</v>
      </c>
      <c r="BW13" s="27"/>
      <c r="BX13" s="27"/>
      <c r="BY13" s="27"/>
      <c r="BZ13" s="27"/>
      <c r="CA13" s="27">
        <f>+'[1]JUNIO 2016'!$H$1519+'[1]JUNIO 2016'!$H$1521+'[1]JUNIO 2016'!$H$1523+'[1]JUNIO 2016'!$H$1525+'[1]JUNIO 2016'!$H$1531+'[1]JUNIO 2016'!$H$1533+'[1]JUNIO 2016'!$H$1547+'[1]JUNIO 2016'!$H$1564</f>
        <v>143458824</v>
      </c>
      <c r="CB13" s="27">
        <f>+'[3]MAYO 2016'!$H$1359</f>
        <v>14004396</v>
      </c>
      <c r="CC13" s="27"/>
      <c r="CD13" s="27"/>
      <c r="CE13" s="27"/>
      <c r="CF13" s="27"/>
      <c r="CG13" s="27"/>
      <c r="CH13" s="27"/>
      <c r="CI13" s="27"/>
      <c r="CJ13" s="27">
        <f>+'[3]MAYO 2016'!$H$1361</f>
        <v>1796640</v>
      </c>
      <c r="CK13" s="27"/>
      <c r="CL13" s="27"/>
      <c r="CM13" s="27"/>
      <c r="CN13" s="27"/>
      <c r="CO13" s="27"/>
      <c r="CP13" s="27">
        <f>+'[3]MAYO 2016'!$H$1325+'[3]MAYO 2016'!$H$1333+'[3]MAYO 2016'!$H$1336+'[3]MAYO 2016'!$H$1340+'[3]MAYO 2016'!$H$1342+'[3]MAYO 2016'!$H$1344+'[3]MAYO 2016'!$H$1354+'[3]MAYO 2016'!$H$1355+'[3]MAYO 2016'!$H$1363+'[3]MAYO 2016'!$H$1366+'[3]MAYO 2016'!$H$1367</f>
        <v>44302058</v>
      </c>
      <c r="CQ13" s="29">
        <f t="shared" si="12"/>
        <v>0.1105188060359461</v>
      </c>
      <c r="CR13" s="27">
        <f t="shared" si="13"/>
        <v>25292744</v>
      </c>
      <c r="CS13" s="27">
        <f t="shared" si="14"/>
        <v>0</v>
      </c>
      <c r="CT13" s="27">
        <f t="shared" si="14"/>
        <v>0</v>
      </c>
      <c r="CU13" s="27">
        <f t="shared" si="14"/>
        <v>0</v>
      </c>
      <c r="CV13" s="27">
        <f t="shared" si="14"/>
        <v>0</v>
      </c>
      <c r="CW13" s="27">
        <f t="shared" si="14"/>
        <v>16541176</v>
      </c>
      <c r="CX13" s="27">
        <f t="shared" si="14"/>
        <v>0</v>
      </c>
      <c r="CY13" s="27">
        <f t="shared" si="14"/>
        <v>0</v>
      </c>
      <c r="CZ13" s="27">
        <f t="shared" si="15"/>
        <v>0</v>
      </c>
      <c r="DA13" s="27">
        <f t="shared" si="15"/>
        <v>0</v>
      </c>
      <c r="DB13" s="27">
        <f t="shared" si="15"/>
        <v>0</v>
      </c>
      <c r="DC13" s="27">
        <f t="shared" si="16"/>
        <v>0</v>
      </c>
      <c r="DD13" s="27">
        <f t="shared" si="16"/>
        <v>0</v>
      </c>
      <c r="DE13" s="27">
        <f t="shared" si="16"/>
        <v>0</v>
      </c>
      <c r="DF13" s="27">
        <f t="shared" si="17"/>
        <v>0</v>
      </c>
      <c r="DG13" s="27">
        <f t="shared" si="17"/>
        <v>0</v>
      </c>
      <c r="DH13" s="27">
        <f t="shared" si="17"/>
        <v>0</v>
      </c>
      <c r="DI13" s="27"/>
      <c r="DJ13" s="27">
        <f t="shared" si="18"/>
        <v>0</v>
      </c>
      <c r="DK13" s="27">
        <f t="shared" si="18"/>
        <v>0</v>
      </c>
      <c r="DL13" s="27">
        <f t="shared" si="18"/>
        <v>8751568</v>
      </c>
      <c r="DN13" s="33">
        <f t="shared" si="19"/>
        <v>228854662</v>
      </c>
      <c r="DO13" s="33">
        <f t="shared" si="20"/>
        <v>228854662</v>
      </c>
      <c r="DP13" s="33">
        <f t="shared" si="21"/>
        <v>228854662</v>
      </c>
    </row>
    <row r="14" spans="1:120" ht="36" customHeight="1" x14ac:dyDescent="0.25">
      <c r="A14" s="34"/>
      <c r="B14" s="212" t="s">
        <v>68</v>
      </c>
      <c r="C14" s="23" t="s">
        <v>69</v>
      </c>
      <c r="D14" s="24" t="s">
        <v>70</v>
      </c>
      <c r="E14" s="25">
        <v>510</v>
      </c>
      <c r="F14" s="26" t="s">
        <v>43</v>
      </c>
      <c r="G14" s="27">
        <f t="shared" si="0"/>
        <v>65000000</v>
      </c>
      <c r="H14" s="27"/>
      <c r="I14" s="27"/>
      <c r="J14" s="27"/>
      <c r="K14" s="27"/>
      <c r="L14" s="27">
        <v>65000000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C14" s="29">
        <f t="shared" si="1"/>
        <v>0.75118858461538462</v>
      </c>
      <c r="AD14" s="27">
        <f t="shared" si="2"/>
        <v>48827258</v>
      </c>
      <c r="AE14" s="27"/>
      <c r="AF14" s="27"/>
      <c r="AG14" s="27"/>
      <c r="AH14" s="27"/>
      <c r="AI14" s="27">
        <f>+'[1]JUNIO 2016'!$G$1577</f>
        <v>48827258</v>
      </c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9">
        <f t="shared" si="3"/>
        <v>0.24881141538461538</v>
      </c>
      <c r="AZ14" s="27">
        <f t="shared" si="4"/>
        <v>16172742</v>
      </c>
      <c r="BA14" s="27">
        <f t="shared" si="5"/>
        <v>0</v>
      </c>
      <c r="BB14" s="27">
        <f t="shared" si="22"/>
        <v>0</v>
      </c>
      <c r="BC14" s="27">
        <f t="shared" si="6"/>
        <v>0</v>
      </c>
      <c r="BD14" s="27">
        <f t="shared" si="6"/>
        <v>0</v>
      </c>
      <c r="BE14" s="27">
        <f t="shared" si="7"/>
        <v>16172742</v>
      </c>
      <c r="BF14" s="27">
        <f t="shared" si="7"/>
        <v>0</v>
      </c>
      <c r="BG14" s="27">
        <f t="shared" si="7"/>
        <v>0</v>
      </c>
      <c r="BH14" s="27">
        <f t="shared" si="7"/>
        <v>0</v>
      </c>
      <c r="BI14" s="27">
        <f t="shared" si="7"/>
        <v>0</v>
      </c>
      <c r="BJ14" s="27">
        <f t="shared" si="7"/>
        <v>0</v>
      </c>
      <c r="BK14" s="27">
        <f t="shared" si="7"/>
        <v>0</v>
      </c>
      <c r="BL14" s="27">
        <f t="shared" si="7"/>
        <v>0</v>
      </c>
      <c r="BM14" s="27">
        <f t="shared" si="7"/>
        <v>0</v>
      </c>
      <c r="BN14" s="27">
        <f t="shared" si="7"/>
        <v>0</v>
      </c>
      <c r="BO14" s="27">
        <f t="shared" si="7"/>
        <v>0</v>
      </c>
      <c r="BP14" s="27">
        <f t="shared" si="7"/>
        <v>0</v>
      </c>
      <c r="BQ14" s="27"/>
      <c r="BR14" s="27">
        <f>+Y14-AV14</f>
        <v>0</v>
      </c>
      <c r="BS14" s="27">
        <f t="shared" si="8"/>
        <v>0</v>
      </c>
      <c r="BT14" s="27">
        <f t="shared" si="9"/>
        <v>0</v>
      </c>
      <c r="BU14" s="29">
        <f t="shared" si="10"/>
        <v>0.68972375384615381</v>
      </c>
      <c r="BV14" s="27">
        <f t="shared" si="11"/>
        <v>44832044</v>
      </c>
      <c r="BW14" s="27"/>
      <c r="BX14" s="27"/>
      <c r="BY14" s="27"/>
      <c r="BZ14" s="27"/>
      <c r="CA14" s="27">
        <f>+'[1]JUNIO 2016'!$H$1577</f>
        <v>44832044</v>
      </c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9">
        <f t="shared" si="12"/>
        <v>0.31027624615384619</v>
      </c>
      <c r="CR14" s="27">
        <f t="shared" si="13"/>
        <v>20167956</v>
      </c>
      <c r="CS14" s="27">
        <f t="shared" si="14"/>
        <v>0</v>
      </c>
      <c r="CT14" s="27">
        <f t="shared" si="14"/>
        <v>0</v>
      </c>
      <c r="CU14" s="27">
        <f t="shared" si="14"/>
        <v>0</v>
      </c>
      <c r="CV14" s="27">
        <f t="shared" si="14"/>
        <v>0</v>
      </c>
      <c r="CW14" s="27">
        <f t="shared" si="14"/>
        <v>20167956</v>
      </c>
      <c r="CX14" s="27">
        <f t="shared" si="14"/>
        <v>0</v>
      </c>
      <c r="CY14" s="27">
        <f t="shared" si="14"/>
        <v>0</v>
      </c>
      <c r="CZ14" s="27">
        <f t="shared" si="15"/>
        <v>0</v>
      </c>
      <c r="DA14" s="27">
        <f t="shared" si="15"/>
        <v>0</v>
      </c>
      <c r="DB14" s="27">
        <f t="shared" si="15"/>
        <v>0</v>
      </c>
      <c r="DC14" s="27">
        <f t="shared" si="16"/>
        <v>0</v>
      </c>
      <c r="DD14" s="27">
        <f t="shared" si="16"/>
        <v>0</v>
      </c>
      <c r="DE14" s="27">
        <f t="shared" si="16"/>
        <v>0</v>
      </c>
      <c r="DF14" s="27">
        <f t="shared" si="17"/>
        <v>0</v>
      </c>
      <c r="DG14" s="27">
        <f t="shared" si="17"/>
        <v>0</v>
      </c>
      <c r="DH14" s="27">
        <f t="shared" si="17"/>
        <v>0</v>
      </c>
      <c r="DI14" s="27"/>
      <c r="DJ14" s="27">
        <f t="shared" si="18"/>
        <v>0</v>
      </c>
      <c r="DK14" s="27">
        <f t="shared" si="18"/>
        <v>0</v>
      </c>
      <c r="DL14" s="27">
        <f t="shared" si="18"/>
        <v>0</v>
      </c>
      <c r="DN14" s="33">
        <f t="shared" si="19"/>
        <v>65000000</v>
      </c>
      <c r="DO14" s="33">
        <f t="shared" si="20"/>
        <v>65000000</v>
      </c>
      <c r="DP14" s="33">
        <f t="shared" si="21"/>
        <v>65000000</v>
      </c>
    </row>
    <row r="15" spans="1:120" ht="36" customHeight="1" x14ac:dyDescent="0.25">
      <c r="A15" s="34"/>
      <c r="B15" s="225"/>
      <c r="C15" s="23" t="s">
        <v>71</v>
      </c>
      <c r="D15" s="24" t="s">
        <v>72</v>
      </c>
      <c r="E15" s="25">
        <v>510</v>
      </c>
      <c r="F15" s="26" t="s">
        <v>43</v>
      </c>
      <c r="G15" s="27">
        <f t="shared" si="0"/>
        <v>32000000</v>
      </c>
      <c r="H15" s="27"/>
      <c r="I15" s="27"/>
      <c r="J15" s="27"/>
      <c r="K15" s="27"/>
      <c r="L15" s="27">
        <v>1568554</v>
      </c>
      <c r="M15" s="27"/>
      <c r="N15" s="27"/>
      <c r="O15" s="27"/>
      <c r="P15" s="27"/>
      <c r="Q15" s="27"/>
      <c r="R15" s="27"/>
      <c r="S15" s="27"/>
      <c r="T15" s="27">
        <v>30431446</v>
      </c>
      <c r="U15" s="27"/>
      <c r="V15" s="27"/>
      <c r="W15" s="27"/>
      <c r="X15" s="27"/>
      <c r="Y15" s="27"/>
      <c r="Z15" s="27"/>
      <c r="AA15" s="27"/>
      <c r="AC15" s="29">
        <f t="shared" si="1"/>
        <v>0.76304484375000003</v>
      </c>
      <c r="AD15" s="27">
        <f t="shared" si="2"/>
        <v>24417435</v>
      </c>
      <c r="AE15" s="27"/>
      <c r="AF15" s="27"/>
      <c r="AG15" s="27"/>
      <c r="AH15" s="27"/>
      <c r="AI15" s="27">
        <f>+'[3]MAYO 2016'!$O$1393</f>
        <v>1550000</v>
      </c>
      <c r="AJ15" s="27"/>
      <c r="AK15" s="27"/>
      <c r="AL15" s="27"/>
      <c r="AM15" s="27"/>
      <c r="AN15" s="27"/>
      <c r="AO15" s="27"/>
      <c r="AP15" s="27"/>
      <c r="AQ15" s="27">
        <f>+'[3]MAYO 2016'!$W$1393</f>
        <v>22867435</v>
      </c>
      <c r="AR15" s="27"/>
      <c r="AS15" s="27"/>
      <c r="AT15" s="27"/>
      <c r="AU15" s="27"/>
      <c r="AV15" s="27"/>
      <c r="AW15" s="27"/>
      <c r="AX15" s="27"/>
      <c r="AY15" s="29">
        <f t="shared" si="3"/>
        <v>0.23695515624999997</v>
      </c>
      <c r="AZ15" s="27">
        <f t="shared" si="4"/>
        <v>7582565</v>
      </c>
      <c r="BA15" s="27">
        <f t="shared" si="5"/>
        <v>0</v>
      </c>
      <c r="BB15" s="27">
        <f t="shared" si="22"/>
        <v>0</v>
      </c>
      <c r="BC15" s="27">
        <f t="shared" si="6"/>
        <v>0</v>
      </c>
      <c r="BD15" s="27">
        <f t="shared" si="6"/>
        <v>0</v>
      </c>
      <c r="BE15" s="27">
        <f t="shared" si="7"/>
        <v>18554</v>
      </c>
      <c r="BF15" s="27">
        <f t="shared" si="7"/>
        <v>0</v>
      </c>
      <c r="BG15" s="27">
        <f t="shared" si="7"/>
        <v>0</v>
      </c>
      <c r="BH15" s="27">
        <f t="shared" si="7"/>
        <v>0</v>
      </c>
      <c r="BI15" s="27">
        <f t="shared" si="7"/>
        <v>0</v>
      </c>
      <c r="BJ15" s="27">
        <f t="shared" si="7"/>
        <v>0</v>
      </c>
      <c r="BK15" s="27">
        <f t="shared" si="7"/>
        <v>0</v>
      </c>
      <c r="BL15" s="27">
        <f t="shared" si="7"/>
        <v>0</v>
      </c>
      <c r="BM15" s="27">
        <f t="shared" si="7"/>
        <v>7564011</v>
      </c>
      <c r="BN15" s="27">
        <f t="shared" si="7"/>
        <v>0</v>
      </c>
      <c r="BO15" s="27">
        <f t="shared" si="7"/>
        <v>0</v>
      </c>
      <c r="BP15" s="27">
        <f t="shared" si="7"/>
        <v>0</v>
      </c>
      <c r="BQ15" s="27"/>
      <c r="BR15" s="27"/>
      <c r="BS15" s="27">
        <f t="shared" si="8"/>
        <v>0</v>
      </c>
      <c r="BT15" s="27">
        <f t="shared" si="9"/>
        <v>0</v>
      </c>
      <c r="BU15" s="29">
        <f t="shared" si="10"/>
        <v>0.76271571874999999</v>
      </c>
      <c r="BV15" s="27">
        <f t="shared" si="11"/>
        <v>24406903</v>
      </c>
      <c r="BW15" s="27"/>
      <c r="BX15" s="27"/>
      <c r="BY15" s="27"/>
      <c r="BZ15" s="27"/>
      <c r="CA15" s="27">
        <f>+'[3]MAYO 2016'!$O$1397</f>
        <v>1550000</v>
      </c>
      <c r="CB15" s="27"/>
      <c r="CC15" s="27"/>
      <c r="CD15" s="27"/>
      <c r="CE15" s="27"/>
      <c r="CF15" s="27"/>
      <c r="CG15" s="27"/>
      <c r="CH15" s="27"/>
      <c r="CI15" s="27">
        <f>+'[3]MAYO 2016'!$H$1394+'[3]MAYO 2016'!$H$1396+'[3]MAYO 2016'!$H$1398+'[3]MAYO 2016'!$H$1399</f>
        <v>22856903</v>
      </c>
      <c r="CJ15" s="27"/>
      <c r="CK15" s="27"/>
      <c r="CL15" s="27"/>
      <c r="CM15" s="27"/>
      <c r="CN15" s="27"/>
      <c r="CO15" s="27"/>
      <c r="CP15" s="27"/>
      <c r="CQ15" s="29">
        <f t="shared" si="12"/>
        <v>0.23728428125000001</v>
      </c>
      <c r="CR15" s="27">
        <f t="shared" si="13"/>
        <v>7593097</v>
      </c>
      <c r="CS15" s="27">
        <f t="shared" si="14"/>
        <v>0</v>
      </c>
      <c r="CT15" s="27">
        <f t="shared" si="14"/>
        <v>0</v>
      </c>
      <c r="CU15" s="27">
        <f t="shared" si="14"/>
        <v>0</v>
      </c>
      <c r="CV15" s="27">
        <f t="shared" si="14"/>
        <v>0</v>
      </c>
      <c r="CW15" s="27">
        <f t="shared" si="14"/>
        <v>18554</v>
      </c>
      <c r="CX15" s="27">
        <f t="shared" si="14"/>
        <v>0</v>
      </c>
      <c r="CY15" s="27">
        <f t="shared" si="14"/>
        <v>0</v>
      </c>
      <c r="CZ15" s="27">
        <f t="shared" si="15"/>
        <v>0</v>
      </c>
      <c r="DA15" s="27">
        <f t="shared" si="15"/>
        <v>0</v>
      </c>
      <c r="DB15" s="27">
        <f t="shared" si="15"/>
        <v>0</v>
      </c>
      <c r="DC15" s="27">
        <f t="shared" si="16"/>
        <v>0</v>
      </c>
      <c r="DD15" s="27">
        <f t="shared" si="16"/>
        <v>0</v>
      </c>
      <c r="DE15" s="27">
        <f t="shared" si="16"/>
        <v>7574543</v>
      </c>
      <c r="DF15" s="27">
        <f t="shared" si="17"/>
        <v>0</v>
      </c>
      <c r="DG15" s="27">
        <f t="shared" si="17"/>
        <v>0</v>
      </c>
      <c r="DH15" s="27">
        <f t="shared" si="17"/>
        <v>0</v>
      </c>
      <c r="DI15" s="27"/>
      <c r="DJ15" s="27">
        <f t="shared" si="18"/>
        <v>0</v>
      </c>
      <c r="DK15" s="27">
        <f t="shared" si="18"/>
        <v>0</v>
      </c>
      <c r="DL15" s="27">
        <f t="shared" si="18"/>
        <v>0</v>
      </c>
      <c r="DN15" s="33">
        <f t="shared" si="19"/>
        <v>32000000</v>
      </c>
      <c r="DO15" s="33">
        <f t="shared" si="20"/>
        <v>32000000</v>
      </c>
      <c r="DP15" s="33">
        <f t="shared" si="21"/>
        <v>32000000</v>
      </c>
    </row>
    <row r="16" spans="1:120" ht="22.5" customHeight="1" x14ac:dyDescent="0.25">
      <c r="A16" s="34"/>
      <c r="B16" s="213"/>
      <c r="C16" s="23" t="s">
        <v>73</v>
      </c>
      <c r="D16" s="24" t="s">
        <v>74</v>
      </c>
      <c r="E16" s="25">
        <v>510</v>
      </c>
      <c r="F16" s="26" t="s">
        <v>75</v>
      </c>
      <c r="G16" s="27">
        <f t="shared" si="0"/>
        <v>0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>
        <f>4000000-4000000</f>
        <v>0</v>
      </c>
      <c r="AC16" s="29" t="e">
        <f t="shared" si="1"/>
        <v>#DIV/0!</v>
      </c>
      <c r="AD16" s="27">
        <f t="shared" si="2"/>
        <v>0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9" t="e">
        <f t="shared" si="3"/>
        <v>#DIV/0!</v>
      </c>
      <c r="AZ16" s="27">
        <f t="shared" si="4"/>
        <v>0</v>
      </c>
      <c r="BA16" s="27">
        <f t="shared" si="5"/>
        <v>0</v>
      </c>
      <c r="BB16" s="27">
        <f t="shared" si="22"/>
        <v>0</v>
      </c>
      <c r="BC16" s="27">
        <f t="shared" si="6"/>
        <v>0</v>
      </c>
      <c r="BD16" s="27">
        <f t="shared" si="6"/>
        <v>0</v>
      </c>
      <c r="BE16" s="27">
        <f t="shared" si="7"/>
        <v>0</v>
      </c>
      <c r="BF16" s="27">
        <f t="shared" si="7"/>
        <v>0</v>
      </c>
      <c r="BG16" s="27">
        <f t="shared" si="7"/>
        <v>0</v>
      </c>
      <c r="BH16" s="27">
        <f t="shared" si="7"/>
        <v>0</v>
      </c>
      <c r="BI16" s="27">
        <f t="shared" si="7"/>
        <v>0</v>
      </c>
      <c r="BJ16" s="27">
        <f t="shared" si="7"/>
        <v>0</v>
      </c>
      <c r="BK16" s="27">
        <f t="shared" si="7"/>
        <v>0</v>
      </c>
      <c r="BL16" s="27">
        <f t="shared" si="7"/>
        <v>0</v>
      </c>
      <c r="BM16" s="27">
        <f t="shared" si="7"/>
        <v>0</v>
      </c>
      <c r="BN16" s="27">
        <f t="shared" si="7"/>
        <v>0</v>
      </c>
      <c r="BO16" s="27">
        <f t="shared" si="7"/>
        <v>0</v>
      </c>
      <c r="BP16" s="27">
        <f t="shared" si="7"/>
        <v>0</v>
      </c>
      <c r="BQ16" s="27"/>
      <c r="BR16" s="27"/>
      <c r="BS16" s="27">
        <f t="shared" si="8"/>
        <v>0</v>
      </c>
      <c r="BT16" s="27">
        <f t="shared" si="9"/>
        <v>0</v>
      </c>
      <c r="BU16" s="29" t="e">
        <f t="shared" si="10"/>
        <v>#DIV/0!</v>
      </c>
      <c r="BV16" s="27">
        <f t="shared" si="11"/>
        <v>0</v>
      </c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9" t="e">
        <f t="shared" si="12"/>
        <v>#DIV/0!</v>
      </c>
      <c r="CR16" s="27">
        <f t="shared" si="13"/>
        <v>0</v>
      </c>
      <c r="CS16" s="27">
        <f t="shared" si="14"/>
        <v>0</v>
      </c>
      <c r="CT16" s="27">
        <f t="shared" si="14"/>
        <v>0</v>
      </c>
      <c r="CU16" s="27">
        <f t="shared" si="14"/>
        <v>0</v>
      </c>
      <c r="CV16" s="27">
        <f t="shared" si="14"/>
        <v>0</v>
      </c>
      <c r="CW16" s="27">
        <f t="shared" si="14"/>
        <v>0</v>
      </c>
      <c r="CX16" s="27">
        <f t="shared" si="14"/>
        <v>0</v>
      </c>
      <c r="CY16" s="27">
        <f t="shared" si="14"/>
        <v>0</v>
      </c>
      <c r="CZ16" s="27">
        <f t="shared" si="15"/>
        <v>0</v>
      </c>
      <c r="DA16" s="27">
        <f t="shared" si="15"/>
        <v>0</v>
      </c>
      <c r="DB16" s="27">
        <f t="shared" si="15"/>
        <v>0</v>
      </c>
      <c r="DC16" s="27">
        <f t="shared" si="16"/>
        <v>0</v>
      </c>
      <c r="DD16" s="27">
        <f t="shared" si="16"/>
        <v>0</v>
      </c>
      <c r="DE16" s="27">
        <f t="shared" si="16"/>
        <v>0</v>
      </c>
      <c r="DF16" s="27">
        <f t="shared" si="17"/>
        <v>0</v>
      </c>
      <c r="DG16" s="27">
        <f t="shared" si="17"/>
        <v>0</v>
      </c>
      <c r="DH16" s="27">
        <f t="shared" si="17"/>
        <v>0</v>
      </c>
      <c r="DI16" s="27"/>
      <c r="DJ16" s="27">
        <f t="shared" si="18"/>
        <v>0</v>
      </c>
      <c r="DK16" s="27">
        <f t="shared" si="18"/>
        <v>0</v>
      </c>
      <c r="DL16" s="27">
        <f t="shared" si="18"/>
        <v>0</v>
      </c>
      <c r="DN16" s="33">
        <f t="shared" si="19"/>
        <v>0</v>
      </c>
      <c r="DO16" s="33">
        <f t="shared" si="20"/>
        <v>0</v>
      </c>
      <c r="DP16" s="33">
        <f t="shared" si="21"/>
        <v>0</v>
      </c>
    </row>
    <row r="17" spans="1:121" ht="23.25" customHeight="1" x14ac:dyDescent="0.25">
      <c r="A17" s="34"/>
      <c r="B17" s="40" t="s">
        <v>76</v>
      </c>
      <c r="C17" s="23" t="s">
        <v>77</v>
      </c>
      <c r="D17" s="24" t="s">
        <v>366</v>
      </c>
      <c r="E17" s="25">
        <v>510</v>
      </c>
      <c r="F17" s="26" t="s">
        <v>43</v>
      </c>
      <c r="G17" s="27">
        <f t="shared" si="0"/>
        <v>30800000</v>
      </c>
      <c r="H17" s="27"/>
      <c r="I17" s="27"/>
      <c r="J17" s="27"/>
      <c r="K17" s="27"/>
      <c r="L17" s="27">
        <f>30800000</f>
        <v>30800000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C17" s="29">
        <f t="shared" si="1"/>
        <v>1</v>
      </c>
      <c r="AD17" s="27">
        <f t="shared" si="2"/>
        <v>30800000</v>
      </c>
      <c r="AE17" s="27"/>
      <c r="AF17" s="27"/>
      <c r="AG17" s="27"/>
      <c r="AH17" s="27"/>
      <c r="AI17" s="27">
        <f>+'[1]JUNIO 2016'!$O$1629</f>
        <v>30800000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9">
        <f t="shared" si="3"/>
        <v>0</v>
      </c>
      <c r="AZ17" s="27">
        <f t="shared" si="4"/>
        <v>0</v>
      </c>
      <c r="BA17" s="27">
        <f t="shared" si="5"/>
        <v>0</v>
      </c>
      <c r="BB17" s="27">
        <f t="shared" si="5"/>
        <v>0</v>
      </c>
      <c r="BC17" s="27">
        <f t="shared" si="5"/>
        <v>0</v>
      </c>
      <c r="BD17" s="27">
        <f t="shared" si="5"/>
        <v>0</v>
      </c>
      <c r="BE17" s="27">
        <f t="shared" si="7"/>
        <v>0</v>
      </c>
      <c r="BF17" s="27">
        <f t="shared" si="5"/>
        <v>0</v>
      </c>
      <c r="BG17" s="27">
        <f t="shared" si="5"/>
        <v>0</v>
      </c>
      <c r="BH17" s="27">
        <f t="shared" si="5"/>
        <v>0</v>
      </c>
      <c r="BI17" s="27">
        <f t="shared" si="5"/>
        <v>0</v>
      </c>
      <c r="BJ17" s="27">
        <f t="shared" si="5"/>
        <v>0</v>
      </c>
      <c r="BK17" s="27">
        <f t="shared" si="5"/>
        <v>0</v>
      </c>
      <c r="BL17" s="27">
        <f t="shared" si="5"/>
        <v>0</v>
      </c>
      <c r="BM17" s="27">
        <f t="shared" si="5"/>
        <v>0</v>
      </c>
      <c r="BN17" s="27">
        <f t="shared" si="5"/>
        <v>0</v>
      </c>
      <c r="BO17" s="27">
        <f t="shared" si="5"/>
        <v>0</v>
      </c>
      <c r="BP17" s="27">
        <f t="shared" si="5"/>
        <v>0</v>
      </c>
      <c r="BQ17" s="27"/>
      <c r="BR17" s="27">
        <f>+Y17</f>
        <v>0</v>
      </c>
      <c r="BS17" s="27">
        <f>+Z17</f>
        <v>0</v>
      </c>
      <c r="BT17" s="27">
        <f>+AA17</f>
        <v>0</v>
      </c>
      <c r="BU17" s="29">
        <f t="shared" si="10"/>
        <v>0</v>
      </c>
      <c r="BV17" s="27">
        <f t="shared" si="11"/>
        <v>0</v>
      </c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9">
        <f t="shared" si="12"/>
        <v>1</v>
      </c>
      <c r="CR17" s="27">
        <f t="shared" si="13"/>
        <v>30800000</v>
      </c>
      <c r="CS17" s="27">
        <f t="shared" si="14"/>
        <v>0</v>
      </c>
      <c r="CT17" s="27">
        <f t="shared" si="14"/>
        <v>0</v>
      </c>
      <c r="CU17" s="27">
        <f t="shared" si="14"/>
        <v>0</v>
      </c>
      <c r="CV17" s="27">
        <f t="shared" si="14"/>
        <v>0</v>
      </c>
      <c r="CW17" s="27">
        <f>L17-CA17</f>
        <v>30800000</v>
      </c>
      <c r="CX17" s="27">
        <f t="shared" si="14"/>
        <v>0</v>
      </c>
      <c r="CY17" s="27">
        <f t="shared" si="14"/>
        <v>0</v>
      </c>
      <c r="CZ17" s="27">
        <f>O17-CD17</f>
        <v>0</v>
      </c>
      <c r="DA17" s="27">
        <f>P17-CE17</f>
        <v>0</v>
      </c>
      <c r="DB17" s="27">
        <f>Q17-CF17</f>
        <v>0</v>
      </c>
      <c r="DC17" s="27">
        <f t="shared" si="16"/>
        <v>0</v>
      </c>
      <c r="DD17" s="27">
        <f t="shared" si="16"/>
        <v>0</v>
      </c>
      <c r="DE17" s="27">
        <f t="shared" si="16"/>
        <v>0</v>
      </c>
      <c r="DF17" s="27">
        <f>U17-CJ17</f>
        <v>0</v>
      </c>
      <c r="DG17" s="27">
        <f>V17-CK17</f>
        <v>0</v>
      </c>
      <c r="DH17" s="27">
        <f>W17-CL17</f>
        <v>0</v>
      </c>
      <c r="DI17" s="27"/>
      <c r="DJ17" s="27">
        <f>Y17-CN17</f>
        <v>0</v>
      </c>
      <c r="DK17" s="27">
        <f>Z17-CO17</f>
        <v>0</v>
      </c>
      <c r="DL17" s="27">
        <f>AA17-CP17</f>
        <v>0</v>
      </c>
      <c r="DN17" s="33">
        <f t="shared" si="19"/>
        <v>30800000</v>
      </c>
      <c r="DO17" s="33">
        <f t="shared" si="20"/>
        <v>30800000</v>
      </c>
      <c r="DP17" s="33">
        <f t="shared" si="21"/>
        <v>30800000</v>
      </c>
    </row>
    <row r="18" spans="1:121" ht="22.5" customHeight="1" x14ac:dyDescent="0.25">
      <c r="A18" s="34"/>
      <c r="B18" s="212" t="s">
        <v>78</v>
      </c>
      <c r="C18" s="23" t="s">
        <v>79</v>
      </c>
      <c r="D18" s="24" t="s">
        <v>80</v>
      </c>
      <c r="E18" s="25">
        <v>510</v>
      </c>
      <c r="F18" s="26" t="s">
        <v>43</v>
      </c>
      <c r="G18" s="27">
        <f t="shared" si="0"/>
        <v>17000000</v>
      </c>
      <c r="H18" s="27"/>
      <c r="I18" s="27"/>
      <c r="J18" s="27"/>
      <c r="K18" s="27"/>
      <c r="L18" s="27">
        <v>17000000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C18" s="29">
        <f t="shared" si="1"/>
        <v>0</v>
      </c>
      <c r="AD18" s="27">
        <f t="shared" si="2"/>
        <v>0</v>
      </c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9">
        <f t="shared" si="3"/>
        <v>1</v>
      </c>
      <c r="AZ18" s="27">
        <f t="shared" si="4"/>
        <v>17000000</v>
      </c>
      <c r="BA18" s="27">
        <f t="shared" si="5"/>
        <v>0</v>
      </c>
      <c r="BB18" s="27">
        <f t="shared" ref="BB18:BD19" si="23">I18-AF18</f>
        <v>0</v>
      </c>
      <c r="BC18" s="27">
        <f t="shared" si="23"/>
        <v>0</v>
      </c>
      <c r="BD18" s="27">
        <f t="shared" si="23"/>
        <v>0</v>
      </c>
      <c r="BE18" s="27">
        <f t="shared" si="7"/>
        <v>17000000</v>
      </c>
      <c r="BF18" s="27">
        <f t="shared" si="7"/>
        <v>0</v>
      </c>
      <c r="BG18" s="27">
        <f t="shared" si="7"/>
        <v>0</v>
      </c>
      <c r="BH18" s="27">
        <f t="shared" si="7"/>
        <v>0</v>
      </c>
      <c r="BI18" s="27">
        <f t="shared" si="7"/>
        <v>0</v>
      </c>
      <c r="BJ18" s="27">
        <f t="shared" si="7"/>
        <v>0</v>
      </c>
      <c r="BK18" s="27">
        <f t="shared" si="7"/>
        <v>0</v>
      </c>
      <c r="BL18" s="27">
        <f t="shared" si="7"/>
        <v>0</v>
      </c>
      <c r="BM18" s="27">
        <f t="shared" si="7"/>
        <v>0</v>
      </c>
      <c r="BN18" s="27">
        <f t="shared" si="7"/>
        <v>0</v>
      </c>
      <c r="BO18" s="27">
        <f t="shared" si="7"/>
        <v>0</v>
      </c>
      <c r="BP18" s="27">
        <f t="shared" si="7"/>
        <v>0</v>
      </c>
      <c r="BQ18" s="27"/>
      <c r="BR18" s="27"/>
      <c r="BS18" s="27">
        <f>Z18-AW18</f>
        <v>0</v>
      </c>
      <c r="BT18" s="27">
        <f>+AA18-AX18</f>
        <v>0</v>
      </c>
      <c r="BU18" s="29">
        <f t="shared" si="10"/>
        <v>0</v>
      </c>
      <c r="BV18" s="27">
        <f t="shared" si="11"/>
        <v>0</v>
      </c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9">
        <f t="shared" si="12"/>
        <v>1</v>
      </c>
      <c r="CR18" s="27">
        <f t="shared" si="13"/>
        <v>17000000</v>
      </c>
      <c r="CS18" s="27">
        <f t="shared" si="14"/>
        <v>0</v>
      </c>
      <c r="CT18" s="27">
        <f t="shared" si="14"/>
        <v>0</v>
      </c>
      <c r="CU18" s="27">
        <f t="shared" si="14"/>
        <v>0</v>
      </c>
      <c r="CV18" s="27">
        <f t="shared" si="14"/>
        <v>0</v>
      </c>
      <c r="CW18" s="27">
        <f t="shared" si="14"/>
        <v>17000000</v>
      </c>
      <c r="CX18" s="27">
        <f t="shared" si="14"/>
        <v>0</v>
      </c>
      <c r="CY18" s="27">
        <f t="shared" si="14"/>
        <v>0</v>
      </c>
      <c r="CZ18" s="27">
        <f t="shared" ref="CZ18:DB19" si="24">+O18-CD18</f>
        <v>0</v>
      </c>
      <c r="DA18" s="27">
        <f t="shared" si="24"/>
        <v>0</v>
      </c>
      <c r="DB18" s="27">
        <f t="shared" si="24"/>
        <v>0</v>
      </c>
      <c r="DC18" s="27">
        <f t="shared" si="16"/>
        <v>0</v>
      </c>
      <c r="DD18" s="27">
        <f t="shared" si="16"/>
        <v>0</v>
      </c>
      <c r="DE18" s="27">
        <f t="shared" si="16"/>
        <v>0</v>
      </c>
      <c r="DF18" s="27">
        <f t="shared" ref="DF18:DH19" si="25">+U18-CJ18</f>
        <v>0</v>
      </c>
      <c r="DG18" s="27">
        <f t="shared" si="25"/>
        <v>0</v>
      </c>
      <c r="DH18" s="27">
        <f t="shared" si="25"/>
        <v>0</v>
      </c>
      <c r="DI18" s="27"/>
      <c r="DJ18" s="27">
        <f t="shared" ref="DJ18:DL19" si="26">+Y18-CN18</f>
        <v>0</v>
      </c>
      <c r="DK18" s="27">
        <f t="shared" si="26"/>
        <v>0</v>
      </c>
      <c r="DL18" s="27">
        <f t="shared" si="26"/>
        <v>0</v>
      </c>
      <c r="DN18" s="33">
        <f t="shared" si="19"/>
        <v>17000000</v>
      </c>
      <c r="DO18" s="33">
        <f t="shared" si="20"/>
        <v>17000000</v>
      </c>
      <c r="DP18" s="33">
        <f t="shared" si="21"/>
        <v>17000000</v>
      </c>
    </row>
    <row r="19" spans="1:121" ht="18.75" customHeight="1" x14ac:dyDescent="0.25">
      <c r="A19" s="41"/>
      <c r="B19" s="213"/>
      <c r="C19" s="23" t="s">
        <v>81</v>
      </c>
      <c r="D19" s="24" t="s">
        <v>82</v>
      </c>
      <c r="E19" s="25">
        <v>510</v>
      </c>
      <c r="F19" s="26" t="s">
        <v>83</v>
      </c>
      <c r="G19" s="27">
        <f t="shared" si="0"/>
        <v>61000000</v>
      </c>
      <c r="H19" s="27"/>
      <c r="I19" s="27"/>
      <c r="J19" s="27"/>
      <c r="K19" s="27"/>
      <c r="L19" s="27">
        <v>40000000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>
        <v>21000000</v>
      </c>
      <c r="AC19" s="29">
        <f t="shared" si="1"/>
        <v>0.62564786885245904</v>
      </c>
      <c r="AD19" s="27">
        <f t="shared" si="2"/>
        <v>38164520</v>
      </c>
      <c r="AE19" s="27"/>
      <c r="AF19" s="27"/>
      <c r="AG19" s="27"/>
      <c r="AH19" s="27"/>
      <c r="AI19" s="27">
        <f>+'[4]ABRIL 2016'!$O$1238</f>
        <v>38164520</v>
      </c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9">
        <f t="shared" si="3"/>
        <v>0.37435213114754096</v>
      </c>
      <c r="AZ19" s="27">
        <f t="shared" si="4"/>
        <v>22835480</v>
      </c>
      <c r="BA19" s="27">
        <f t="shared" si="5"/>
        <v>0</v>
      </c>
      <c r="BB19" s="27">
        <f t="shared" si="23"/>
        <v>0</v>
      </c>
      <c r="BC19" s="27">
        <f t="shared" si="23"/>
        <v>0</v>
      </c>
      <c r="BD19" s="27">
        <f t="shared" si="23"/>
        <v>0</v>
      </c>
      <c r="BE19" s="27">
        <f t="shared" si="7"/>
        <v>1835480</v>
      </c>
      <c r="BF19" s="27">
        <f t="shared" si="7"/>
        <v>0</v>
      </c>
      <c r="BG19" s="27">
        <f t="shared" si="7"/>
        <v>0</v>
      </c>
      <c r="BH19" s="27">
        <f t="shared" si="7"/>
        <v>0</v>
      </c>
      <c r="BI19" s="27">
        <f t="shared" si="7"/>
        <v>0</v>
      </c>
      <c r="BJ19" s="27">
        <f t="shared" si="7"/>
        <v>0</v>
      </c>
      <c r="BK19" s="27">
        <f t="shared" si="7"/>
        <v>0</v>
      </c>
      <c r="BL19" s="27">
        <f t="shared" si="7"/>
        <v>0</v>
      </c>
      <c r="BM19" s="27">
        <f t="shared" si="7"/>
        <v>0</v>
      </c>
      <c r="BN19" s="27">
        <f t="shared" si="7"/>
        <v>0</v>
      </c>
      <c r="BO19" s="27">
        <f t="shared" si="7"/>
        <v>0</v>
      </c>
      <c r="BP19" s="27">
        <f t="shared" si="7"/>
        <v>0</v>
      </c>
      <c r="BQ19" s="27"/>
      <c r="BR19" s="27"/>
      <c r="BS19" s="27">
        <f>Z19-AW19</f>
        <v>0</v>
      </c>
      <c r="BT19" s="27">
        <f>+AA19-AX19</f>
        <v>21000000</v>
      </c>
      <c r="BU19" s="29">
        <f t="shared" si="10"/>
        <v>0.60925432786885247</v>
      </c>
      <c r="BV19" s="27">
        <f t="shared" si="11"/>
        <v>37164514</v>
      </c>
      <c r="BW19" s="27"/>
      <c r="BX19" s="27"/>
      <c r="BY19" s="27"/>
      <c r="BZ19" s="27"/>
      <c r="CA19" s="27">
        <f>+'[3]MAYO 2016'!$H$1417</f>
        <v>37164514</v>
      </c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9">
        <f t="shared" si="12"/>
        <v>0.39074567213114753</v>
      </c>
      <c r="CR19" s="27">
        <f t="shared" si="13"/>
        <v>23835486</v>
      </c>
      <c r="CS19" s="27">
        <f t="shared" si="14"/>
        <v>0</v>
      </c>
      <c r="CT19" s="27">
        <f t="shared" si="14"/>
        <v>0</v>
      </c>
      <c r="CU19" s="27">
        <f t="shared" si="14"/>
        <v>0</v>
      </c>
      <c r="CV19" s="27">
        <f t="shared" si="14"/>
        <v>0</v>
      </c>
      <c r="CW19" s="27">
        <f t="shared" si="14"/>
        <v>2835486</v>
      </c>
      <c r="CX19" s="27">
        <f t="shared" si="14"/>
        <v>0</v>
      </c>
      <c r="CY19" s="27">
        <f t="shared" si="14"/>
        <v>0</v>
      </c>
      <c r="CZ19" s="27">
        <f t="shared" si="24"/>
        <v>0</v>
      </c>
      <c r="DA19" s="27">
        <f t="shared" si="24"/>
        <v>0</v>
      </c>
      <c r="DB19" s="27">
        <f t="shared" si="24"/>
        <v>0</v>
      </c>
      <c r="DC19" s="27">
        <f t="shared" si="16"/>
        <v>0</v>
      </c>
      <c r="DD19" s="27">
        <f t="shared" si="16"/>
        <v>0</v>
      </c>
      <c r="DE19" s="27">
        <f t="shared" si="16"/>
        <v>0</v>
      </c>
      <c r="DF19" s="27">
        <f t="shared" si="25"/>
        <v>0</v>
      </c>
      <c r="DG19" s="27">
        <f t="shared" si="25"/>
        <v>0</v>
      </c>
      <c r="DH19" s="27">
        <f t="shared" si="25"/>
        <v>0</v>
      </c>
      <c r="DI19" s="27"/>
      <c r="DJ19" s="27">
        <f t="shared" si="26"/>
        <v>0</v>
      </c>
      <c r="DK19" s="27">
        <f t="shared" si="26"/>
        <v>0</v>
      </c>
      <c r="DL19" s="27">
        <f t="shared" si="26"/>
        <v>21000000</v>
      </c>
      <c r="DN19" s="33">
        <f t="shared" si="19"/>
        <v>61000000</v>
      </c>
      <c r="DO19" s="33">
        <f t="shared" si="20"/>
        <v>61000000</v>
      </c>
      <c r="DP19" s="33">
        <f t="shared" si="21"/>
        <v>61000000</v>
      </c>
    </row>
    <row r="20" spans="1:121" s="50" customFormat="1" ht="22.5" customHeight="1" thickBot="1" x14ac:dyDescent="0.3">
      <c r="A20" s="42"/>
      <c r="B20" s="232" t="s">
        <v>84</v>
      </c>
      <c r="C20" s="233"/>
      <c r="D20" s="233"/>
      <c r="E20" s="234"/>
      <c r="F20" s="43"/>
      <c r="G20" s="44">
        <f t="shared" ref="G20:W20" si="27">SUM(G4:G19)</f>
        <v>1381230977</v>
      </c>
      <c r="H20" s="44">
        <f t="shared" si="27"/>
        <v>0</v>
      </c>
      <c r="I20" s="44">
        <f t="shared" si="27"/>
        <v>0</v>
      </c>
      <c r="J20" s="44">
        <f t="shared" si="27"/>
        <v>450000000</v>
      </c>
      <c r="K20" s="44">
        <f t="shared" si="27"/>
        <v>0</v>
      </c>
      <c r="L20" s="44">
        <f t="shared" si="27"/>
        <v>749568554</v>
      </c>
      <c r="M20" s="44">
        <f t="shared" si="27"/>
        <v>14004396</v>
      </c>
      <c r="N20" s="44">
        <f t="shared" si="27"/>
        <v>0</v>
      </c>
      <c r="O20" s="44">
        <f t="shared" si="27"/>
        <v>0</v>
      </c>
      <c r="P20" s="44">
        <f t="shared" si="27"/>
        <v>0</v>
      </c>
      <c r="Q20" s="44">
        <f t="shared" si="27"/>
        <v>0</v>
      </c>
      <c r="R20" s="44">
        <f t="shared" si="27"/>
        <v>0</v>
      </c>
      <c r="S20" s="44">
        <f t="shared" si="27"/>
        <v>0</v>
      </c>
      <c r="T20" s="44">
        <f t="shared" si="27"/>
        <v>30431446</v>
      </c>
      <c r="U20" s="44">
        <f t="shared" si="27"/>
        <v>1796640</v>
      </c>
      <c r="V20" s="44">
        <f t="shared" si="27"/>
        <v>0</v>
      </c>
      <c r="W20" s="44">
        <f t="shared" si="27"/>
        <v>0</v>
      </c>
      <c r="X20" s="44"/>
      <c r="Y20" s="44">
        <f>SUM(Y4:Y19)</f>
        <v>0</v>
      </c>
      <c r="Z20" s="44">
        <f>SUM(Z4:Z19)</f>
        <v>0</v>
      </c>
      <c r="AA20" s="44">
        <f>SUM(AA4:AA19)</f>
        <v>135429941</v>
      </c>
      <c r="AB20" s="45"/>
      <c r="AC20" s="46">
        <f t="shared" si="1"/>
        <v>0.57024378696655886</v>
      </c>
      <c r="AD20" s="47">
        <f>SUM(AD4:AD19)</f>
        <v>787638383</v>
      </c>
      <c r="AE20" s="47"/>
      <c r="AF20" s="47">
        <f t="shared" ref="AF20:AX20" si="28">SUM(AF4:AF19)</f>
        <v>0</v>
      </c>
      <c r="AG20" s="47">
        <f t="shared" si="28"/>
        <v>50285937</v>
      </c>
      <c r="AH20" s="47">
        <f t="shared" si="28"/>
        <v>0</v>
      </c>
      <c r="AI20" s="47">
        <f t="shared" si="28"/>
        <v>639621937</v>
      </c>
      <c r="AJ20" s="47">
        <f t="shared" si="28"/>
        <v>14004396</v>
      </c>
      <c r="AK20" s="47">
        <f t="shared" si="28"/>
        <v>0</v>
      </c>
      <c r="AL20" s="47">
        <f t="shared" si="28"/>
        <v>0</v>
      </c>
      <c r="AM20" s="47">
        <f t="shared" si="28"/>
        <v>0</v>
      </c>
      <c r="AN20" s="47">
        <f t="shared" si="28"/>
        <v>0</v>
      </c>
      <c r="AO20" s="47">
        <f t="shared" si="28"/>
        <v>0</v>
      </c>
      <c r="AP20" s="47">
        <f t="shared" si="28"/>
        <v>0</v>
      </c>
      <c r="AQ20" s="47">
        <f t="shared" si="28"/>
        <v>22867435</v>
      </c>
      <c r="AR20" s="47">
        <f t="shared" si="28"/>
        <v>1796640</v>
      </c>
      <c r="AS20" s="47">
        <f t="shared" si="28"/>
        <v>0</v>
      </c>
      <c r="AT20" s="47">
        <f t="shared" si="28"/>
        <v>0</v>
      </c>
      <c r="AU20" s="47">
        <f t="shared" si="28"/>
        <v>0</v>
      </c>
      <c r="AV20" s="47">
        <f t="shared" si="28"/>
        <v>0</v>
      </c>
      <c r="AW20" s="47">
        <f t="shared" si="28"/>
        <v>0</v>
      </c>
      <c r="AX20" s="47">
        <f t="shared" si="28"/>
        <v>59062038</v>
      </c>
      <c r="AY20" s="48">
        <f t="shared" si="3"/>
        <v>0.42975621303344114</v>
      </c>
      <c r="AZ20" s="47">
        <f t="shared" ref="AZ20:BP20" si="29">SUM(AZ4:AZ19)</f>
        <v>593592594</v>
      </c>
      <c r="BA20" s="47">
        <f t="shared" si="29"/>
        <v>0</v>
      </c>
      <c r="BB20" s="47">
        <f t="shared" si="29"/>
        <v>0</v>
      </c>
      <c r="BC20" s="47">
        <f t="shared" si="29"/>
        <v>399714063</v>
      </c>
      <c r="BD20" s="47">
        <f t="shared" si="29"/>
        <v>0</v>
      </c>
      <c r="BE20" s="47">
        <f t="shared" si="29"/>
        <v>109946617</v>
      </c>
      <c r="BF20" s="47">
        <f t="shared" si="29"/>
        <v>0</v>
      </c>
      <c r="BG20" s="47">
        <f t="shared" si="29"/>
        <v>0</v>
      </c>
      <c r="BH20" s="47">
        <f t="shared" si="29"/>
        <v>0</v>
      </c>
      <c r="BI20" s="47">
        <f t="shared" si="29"/>
        <v>0</v>
      </c>
      <c r="BJ20" s="47">
        <f t="shared" si="29"/>
        <v>0</v>
      </c>
      <c r="BK20" s="47">
        <f t="shared" si="29"/>
        <v>0</v>
      </c>
      <c r="BL20" s="47">
        <f t="shared" si="29"/>
        <v>0</v>
      </c>
      <c r="BM20" s="47">
        <f t="shared" si="29"/>
        <v>7564011</v>
      </c>
      <c r="BN20" s="47">
        <f t="shared" si="29"/>
        <v>0</v>
      </c>
      <c r="BO20" s="47">
        <f t="shared" si="29"/>
        <v>0</v>
      </c>
      <c r="BP20" s="47">
        <f t="shared" si="29"/>
        <v>0</v>
      </c>
      <c r="BQ20" s="47"/>
      <c r="BR20" s="47">
        <f>SUM(BR4:BR19)</f>
        <v>0</v>
      </c>
      <c r="BS20" s="47">
        <f>SUM(BS4:BS19)</f>
        <v>0</v>
      </c>
      <c r="BT20" s="47">
        <f>SUM(BT4:BT19)</f>
        <v>76367903</v>
      </c>
      <c r="BU20" s="48">
        <f t="shared" si="10"/>
        <v>0.44610705034890047</v>
      </c>
      <c r="BV20" s="47">
        <f t="shared" ref="BV20:CL20" si="30">SUM(BV4:BV19)</f>
        <v>616176877</v>
      </c>
      <c r="BW20" s="47">
        <f t="shared" si="30"/>
        <v>0</v>
      </c>
      <c r="BX20" s="47">
        <f t="shared" si="30"/>
        <v>0</v>
      </c>
      <c r="BY20" s="47">
        <f t="shared" si="30"/>
        <v>50285937</v>
      </c>
      <c r="BZ20" s="47">
        <f t="shared" si="30"/>
        <v>0</v>
      </c>
      <c r="CA20" s="47">
        <f t="shared" si="30"/>
        <v>469778031</v>
      </c>
      <c r="CB20" s="47">
        <f t="shared" si="30"/>
        <v>14004396</v>
      </c>
      <c r="CC20" s="47">
        <f t="shared" si="30"/>
        <v>0</v>
      </c>
      <c r="CD20" s="47">
        <f t="shared" si="30"/>
        <v>0</v>
      </c>
      <c r="CE20" s="47">
        <f t="shared" si="30"/>
        <v>0</v>
      </c>
      <c r="CF20" s="47">
        <f t="shared" si="30"/>
        <v>0</v>
      </c>
      <c r="CG20" s="47">
        <f t="shared" si="30"/>
        <v>0</v>
      </c>
      <c r="CH20" s="47">
        <f t="shared" si="30"/>
        <v>0</v>
      </c>
      <c r="CI20" s="47">
        <f t="shared" si="30"/>
        <v>22856903</v>
      </c>
      <c r="CJ20" s="47">
        <f t="shared" si="30"/>
        <v>1796640</v>
      </c>
      <c r="CK20" s="47">
        <f t="shared" si="30"/>
        <v>0</v>
      </c>
      <c r="CL20" s="47">
        <f t="shared" si="30"/>
        <v>0</v>
      </c>
      <c r="CM20" s="47"/>
      <c r="CN20" s="47">
        <f>SUM(CN4:CN19)</f>
        <v>0</v>
      </c>
      <c r="CO20" s="47">
        <f>SUM(CO4:CO19)</f>
        <v>0</v>
      </c>
      <c r="CP20" s="47">
        <f>SUM(CP4:CP19)</f>
        <v>57454970</v>
      </c>
      <c r="CQ20" s="48">
        <f t="shared" si="12"/>
        <v>0.55389294965109959</v>
      </c>
      <c r="CR20" s="47">
        <f t="shared" ref="CR20:DL20" si="31">SUM(CR4:CR19)</f>
        <v>765054100</v>
      </c>
      <c r="CS20" s="47">
        <f t="shared" si="31"/>
        <v>0</v>
      </c>
      <c r="CT20" s="47">
        <f t="shared" si="31"/>
        <v>0</v>
      </c>
      <c r="CU20" s="47">
        <f t="shared" si="31"/>
        <v>399714063</v>
      </c>
      <c r="CV20" s="47">
        <f t="shared" si="31"/>
        <v>0</v>
      </c>
      <c r="CW20" s="47">
        <f t="shared" si="31"/>
        <v>279790523</v>
      </c>
      <c r="CX20" s="47">
        <f t="shared" si="31"/>
        <v>0</v>
      </c>
      <c r="CY20" s="47">
        <f t="shared" si="31"/>
        <v>0</v>
      </c>
      <c r="CZ20" s="47">
        <f t="shared" si="31"/>
        <v>0</v>
      </c>
      <c r="DA20" s="47">
        <f t="shared" si="31"/>
        <v>0</v>
      </c>
      <c r="DB20" s="47">
        <f t="shared" si="31"/>
        <v>0</v>
      </c>
      <c r="DC20" s="47">
        <f t="shared" si="31"/>
        <v>0</v>
      </c>
      <c r="DD20" s="47">
        <f t="shared" si="31"/>
        <v>0</v>
      </c>
      <c r="DE20" s="47">
        <f t="shared" si="31"/>
        <v>7574543</v>
      </c>
      <c r="DF20" s="47">
        <f t="shared" si="31"/>
        <v>0</v>
      </c>
      <c r="DG20" s="47">
        <f t="shared" si="31"/>
        <v>0</v>
      </c>
      <c r="DH20" s="47">
        <f t="shared" si="31"/>
        <v>0</v>
      </c>
      <c r="DI20" s="47">
        <f t="shared" si="31"/>
        <v>0</v>
      </c>
      <c r="DJ20" s="47">
        <f t="shared" si="31"/>
        <v>0</v>
      </c>
      <c r="DK20" s="47">
        <f t="shared" si="31"/>
        <v>0</v>
      </c>
      <c r="DL20" s="49">
        <f t="shared" si="31"/>
        <v>77974971</v>
      </c>
      <c r="DN20" s="33">
        <f t="shared" si="19"/>
        <v>1381230977</v>
      </c>
      <c r="DO20" s="33">
        <f t="shared" si="20"/>
        <v>1381230977</v>
      </c>
      <c r="DP20" s="33">
        <f t="shared" si="21"/>
        <v>1381230977</v>
      </c>
    </row>
    <row r="21" spans="1:121" ht="29.25" customHeight="1" thickTop="1" x14ac:dyDescent="0.25">
      <c r="A21" s="22" t="s">
        <v>85</v>
      </c>
      <c r="B21" s="235" t="s">
        <v>86</v>
      </c>
      <c r="C21" s="23" t="s">
        <v>87</v>
      </c>
      <c r="D21" s="24" t="s">
        <v>88</v>
      </c>
      <c r="E21" s="25">
        <v>410</v>
      </c>
      <c r="F21" s="51" t="s">
        <v>89</v>
      </c>
      <c r="G21" s="27">
        <f t="shared" ref="G21:G57" si="32">SUM(H21:AA21)</f>
        <v>450000000</v>
      </c>
      <c r="H21" s="52"/>
      <c r="I21" s="52"/>
      <c r="J21" s="27">
        <v>450000000</v>
      </c>
      <c r="K21" s="53"/>
      <c r="L21" s="27"/>
      <c r="M21" s="52"/>
      <c r="N21" s="53"/>
      <c r="O21" s="53"/>
      <c r="P21" s="53"/>
      <c r="Q21" s="53"/>
      <c r="R21" s="54"/>
      <c r="S21" s="53"/>
      <c r="T21" s="53"/>
      <c r="U21" s="53"/>
      <c r="V21" s="53"/>
      <c r="W21" s="53"/>
      <c r="X21" s="53"/>
      <c r="Y21" s="53"/>
      <c r="Z21" s="53"/>
      <c r="AA21" s="53"/>
      <c r="AC21" s="55">
        <f t="shared" si="1"/>
        <v>0.28551611555555556</v>
      </c>
      <c r="AD21" s="27">
        <f t="shared" ref="AD21:AD57" si="33">SUM(AE21:AX21)</f>
        <v>128482252</v>
      </c>
      <c r="AE21" s="27"/>
      <c r="AF21" s="27"/>
      <c r="AG21" s="27">
        <f>+'[1]JUNIO 2016'!$M$713</f>
        <v>128482252</v>
      </c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9">
        <f t="shared" si="3"/>
        <v>0.71448388444444444</v>
      </c>
      <c r="AZ21" s="27">
        <f t="shared" ref="AZ21:AZ57" si="34">SUM(BA21:BT21)</f>
        <v>321517748</v>
      </c>
      <c r="BA21" s="27">
        <f t="shared" ref="BA21:BA57" si="35">+H21</f>
        <v>0</v>
      </c>
      <c r="BB21" s="27">
        <f t="shared" ref="BB21:BP57" si="36">I21-AF21</f>
        <v>0</v>
      </c>
      <c r="BC21" s="27">
        <f t="shared" si="36"/>
        <v>321517748</v>
      </c>
      <c r="BD21" s="27">
        <f t="shared" si="36"/>
        <v>0</v>
      </c>
      <c r="BE21" s="27">
        <f t="shared" ref="BE21:BP35" si="37">+L21-AI21</f>
        <v>0</v>
      </c>
      <c r="BF21" s="27">
        <f t="shared" si="37"/>
        <v>0</v>
      </c>
      <c r="BG21" s="27">
        <f t="shared" si="37"/>
        <v>0</v>
      </c>
      <c r="BH21" s="27">
        <f t="shared" si="37"/>
        <v>0</v>
      </c>
      <c r="BI21" s="27">
        <f t="shared" si="37"/>
        <v>0</v>
      </c>
      <c r="BJ21" s="27">
        <f t="shared" si="37"/>
        <v>0</v>
      </c>
      <c r="BK21" s="27">
        <f t="shared" si="37"/>
        <v>0</v>
      </c>
      <c r="BL21" s="27">
        <f t="shared" si="37"/>
        <v>0</v>
      </c>
      <c r="BM21" s="27">
        <f t="shared" si="37"/>
        <v>0</v>
      </c>
      <c r="BN21" s="27">
        <f t="shared" si="37"/>
        <v>0</v>
      </c>
      <c r="BO21" s="27">
        <f t="shared" si="37"/>
        <v>0</v>
      </c>
      <c r="BP21" s="27">
        <f t="shared" si="37"/>
        <v>0</v>
      </c>
      <c r="BQ21" s="27"/>
      <c r="BR21" s="27"/>
      <c r="BS21" s="27"/>
      <c r="BT21" s="27">
        <f t="shared" ref="BT21:BT35" si="38">+AA21-AX21</f>
        <v>0</v>
      </c>
      <c r="BU21" s="29">
        <f t="shared" si="10"/>
        <v>0.13826968000000001</v>
      </c>
      <c r="BV21" s="27">
        <f t="shared" ref="BV21:BV57" si="39">SUM(BW21:CP21)</f>
        <v>62221356</v>
      </c>
      <c r="BW21" s="27"/>
      <c r="BX21" s="27"/>
      <c r="BY21" s="27">
        <f>+'[1]JUNIO 2016'!$H$711</f>
        <v>62221356</v>
      </c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9">
        <f t="shared" si="12"/>
        <v>0.86173031999999994</v>
      </c>
      <c r="CR21" s="27">
        <f t="shared" ref="CR21:CR57" si="40">SUM(CS21:DL21)</f>
        <v>387778644</v>
      </c>
      <c r="CS21" s="27">
        <f t="shared" ref="CS21:CY57" si="41">H21-BW21</f>
        <v>0</v>
      </c>
      <c r="CT21" s="27">
        <f t="shared" si="41"/>
        <v>0</v>
      </c>
      <c r="CU21" s="27">
        <f t="shared" si="41"/>
        <v>387778644</v>
      </c>
      <c r="CV21" s="27">
        <f t="shared" si="41"/>
        <v>0</v>
      </c>
      <c r="CW21" s="27">
        <f t="shared" si="41"/>
        <v>0</v>
      </c>
      <c r="CX21" s="27">
        <f t="shared" si="41"/>
        <v>0</v>
      </c>
      <c r="CY21" s="27">
        <f t="shared" si="41"/>
        <v>0</v>
      </c>
      <c r="CZ21" s="27">
        <f t="shared" ref="CZ21:DB35" si="42">+O21-CD21</f>
        <v>0</v>
      </c>
      <c r="DA21" s="27">
        <f t="shared" si="42"/>
        <v>0</v>
      </c>
      <c r="DB21" s="27">
        <f t="shared" si="42"/>
        <v>0</v>
      </c>
      <c r="DC21" s="27">
        <f t="shared" ref="DC21:DH45" si="43">R21-CG21</f>
        <v>0</v>
      </c>
      <c r="DD21" s="27">
        <f t="shared" si="43"/>
        <v>0</v>
      </c>
      <c r="DE21" s="27">
        <f t="shared" si="43"/>
        <v>0</v>
      </c>
      <c r="DF21" s="27">
        <f t="shared" ref="DF21:DH29" si="44">+U21-CJ21</f>
        <v>0</v>
      </c>
      <c r="DG21" s="27">
        <f t="shared" si="44"/>
        <v>0</v>
      </c>
      <c r="DH21" s="27">
        <f t="shared" si="44"/>
        <v>0</v>
      </c>
      <c r="DI21" s="27"/>
      <c r="DJ21" s="27">
        <f t="shared" ref="DJ21:DL29" si="45">+Y21-CN21</f>
        <v>0</v>
      </c>
      <c r="DK21" s="27">
        <f t="shared" si="45"/>
        <v>0</v>
      </c>
      <c r="DL21" s="27">
        <f t="shared" si="45"/>
        <v>0</v>
      </c>
      <c r="DN21" s="33">
        <f t="shared" si="19"/>
        <v>450000000</v>
      </c>
      <c r="DO21" s="33">
        <f t="shared" si="20"/>
        <v>450000000</v>
      </c>
      <c r="DP21" s="33">
        <f t="shared" si="21"/>
        <v>450000000</v>
      </c>
    </row>
    <row r="22" spans="1:121" ht="30.75" customHeight="1" x14ac:dyDescent="0.25">
      <c r="A22" s="34"/>
      <c r="B22" s="230"/>
      <c r="C22" s="23" t="s">
        <v>90</v>
      </c>
      <c r="D22" s="24" t="s">
        <v>91</v>
      </c>
      <c r="E22" s="25">
        <v>410</v>
      </c>
      <c r="F22" s="26" t="s">
        <v>89</v>
      </c>
      <c r="G22" s="27">
        <f t="shared" si="32"/>
        <v>150000000</v>
      </c>
      <c r="H22" s="27"/>
      <c r="I22" s="27"/>
      <c r="J22" s="27">
        <v>150000000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C22" s="29">
        <f t="shared" si="1"/>
        <v>0.33333333333333331</v>
      </c>
      <c r="AD22" s="27">
        <f t="shared" si="33"/>
        <v>50000000</v>
      </c>
      <c r="AE22" s="27"/>
      <c r="AF22" s="27"/>
      <c r="AG22" s="27">
        <f>+'[5]ENERO 2016'!$M$253</f>
        <v>50000000</v>
      </c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9">
        <f t="shared" si="3"/>
        <v>0.66666666666666674</v>
      </c>
      <c r="AZ22" s="27">
        <f t="shared" si="34"/>
        <v>100000000</v>
      </c>
      <c r="BA22" s="27">
        <f t="shared" si="35"/>
        <v>0</v>
      </c>
      <c r="BB22" s="27">
        <f t="shared" si="36"/>
        <v>0</v>
      </c>
      <c r="BC22" s="27">
        <f t="shared" si="36"/>
        <v>100000000</v>
      </c>
      <c r="BD22" s="27">
        <f t="shared" si="36"/>
        <v>0</v>
      </c>
      <c r="BE22" s="27">
        <f t="shared" si="37"/>
        <v>0</v>
      </c>
      <c r="BF22" s="27">
        <f t="shared" si="37"/>
        <v>0</v>
      </c>
      <c r="BG22" s="27">
        <f t="shared" si="37"/>
        <v>0</v>
      </c>
      <c r="BH22" s="27">
        <f t="shared" si="37"/>
        <v>0</v>
      </c>
      <c r="BI22" s="27">
        <f t="shared" si="37"/>
        <v>0</v>
      </c>
      <c r="BJ22" s="27">
        <f t="shared" si="37"/>
        <v>0</v>
      </c>
      <c r="BK22" s="27">
        <f t="shared" si="37"/>
        <v>0</v>
      </c>
      <c r="BL22" s="27">
        <f t="shared" si="37"/>
        <v>0</v>
      </c>
      <c r="BM22" s="27">
        <f t="shared" si="37"/>
        <v>0</v>
      </c>
      <c r="BN22" s="27">
        <f t="shared" si="37"/>
        <v>0</v>
      </c>
      <c r="BO22" s="27">
        <f t="shared" si="37"/>
        <v>0</v>
      </c>
      <c r="BP22" s="27">
        <f t="shared" si="37"/>
        <v>0</v>
      </c>
      <c r="BQ22" s="27"/>
      <c r="BR22" s="27"/>
      <c r="BS22" s="27"/>
      <c r="BT22" s="27">
        <f t="shared" si="38"/>
        <v>0</v>
      </c>
      <c r="BU22" s="29">
        <f t="shared" si="10"/>
        <v>0.32020326666666665</v>
      </c>
      <c r="BV22" s="27">
        <f t="shared" si="39"/>
        <v>48030490</v>
      </c>
      <c r="BW22" s="27"/>
      <c r="BX22" s="27"/>
      <c r="BY22" s="27">
        <f>+'[2]MARZO 2016 ULTIMO'!$H$419</f>
        <v>48030490</v>
      </c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9">
        <f t="shared" si="12"/>
        <v>0.67979673333333335</v>
      </c>
      <c r="CR22" s="27">
        <f t="shared" si="40"/>
        <v>101969510</v>
      </c>
      <c r="CS22" s="27">
        <f t="shared" si="41"/>
        <v>0</v>
      </c>
      <c r="CT22" s="27">
        <f t="shared" si="41"/>
        <v>0</v>
      </c>
      <c r="CU22" s="27">
        <f t="shared" si="41"/>
        <v>101969510</v>
      </c>
      <c r="CV22" s="27">
        <f t="shared" si="41"/>
        <v>0</v>
      </c>
      <c r="CW22" s="27">
        <f t="shared" si="41"/>
        <v>0</v>
      </c>
      <c r="CX22" s="27">
        <f t="shared" si="41"/>
        <v>0</v>
      </c>
      <c r="CY22" s="27">
        <f t="shared" si="41"/>
        <v>0</v>
      </c>
      <c r="CZ22" s="27">
        <f t="shared" si="42"/>
        <v>0</v>
      </c>
      <c r="DA22" s="27">
        <f t="shared" si="42"/>
        <v>0</v>
      </c>
      <c r="DB22" s="27">
        <f t="shared" si="42"/>
        <v>0</v>
      </c>
      <c r="DC22" s="27">
        <f t="shared" si="43"/>
        <v>0</v>
      </c>
      <c r="DD22" s="27">
        <f t="shared" si="43"/>
        <v>0</v>
      </c>
      <c r="DE22" s="27">
        <f t="shared" si="43"/>
        <v>0</v>
      </c>
      <c r="DF22" s="27">
        <f t="shared" si="44"/>
        <v>0</v>
      </c>
      <c r="DG22" s="27">
        <f t="shared" si="44"/>
        <v>0</v>
      </c>
      <c r="DH22" s="27">
        <f t="shared" si="44"/>
        <v>0</v>
      </c>
      <c r="DI22" s="27"/>
      <c r="DJ22" s="27">
        <f t="shared" si="45"/>
        <v>0</v>
      </c>
      <c r="DK22" s="27">
        <f t="shared" si="45"/>
        <v>0</v>
      </c>
      <c r="DL22" s="27">
        <f t="shared" si="45"/>
        <v>0</v>
      </c>
      <c r="DN22" s="33">
        <f t="shared" si="19"/>
        <v>150000000</v>
      </c>
      <c r="DO22" s="33">
        <f t="shared" si="20"/>
        <v>150000000</v>
      </c>
      <c r="DP22" s="33">
        <f t="shared" si="21"/>
        <v>150000000</v>
      </c>
    </row>
    <row r="23" spans="1:121" ht="19.5" customHeight="1" x14ac:dyDescent="0.25">
      <c r="A23" s="34"/>
      <c r="B23" s="231"/>
      <c r="C23" s="23" t="s">
        <v>92</v>
      </c>
      <c r="D23" s="24" t="s">
        <v>93</v>
      </c>
      <c r="E23" s="25">
        <v>410</v>
      </c>
      <c r="F23" s="26" t="s">
        <v>89</v>
      </c>
      <c r="G23" s="27">
        <f t="shared" si="32"/>
        <v>200000000</v>
      </c>
      <c r="H23" s="27"/>
      <c r="I23" s="27"/>
      <c r="J23" s="27">
        <v>200000000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C23" s="29">
        <f t="shared" si="1"/>
        <v>1</v>
      </c>
      <c r="AD23" s="27">
        <f t="shared" si="33"/>
        <v>200000000</v>
      </c>
      <c r="AE23" s="27"/>
      <c r="AF23" s="27"/>
      <c r="AG23" s="27">
        <f>+'[5]ENERO 2016'!$M$259</f>
        <v>200000000</v>
      </c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9">
        <f t="shared" si="3"/>
        <v>0</v>
      </c>
      <c r="AZ23" s="27">
        <f t="shared" si="34"/>
        <v>0</v>
      </c>
      <c r="BA23" s="27">
        <f t="shared" si="35"/>
        <v>0</v>
      </c>
      <c r="BB23" s="27">
        <f t="shared" si="36"/>
        <v>0</v>
      </c>
      <c r="BC23" s="27">
        <f t="shared" si="36"/>
        <v>0</v>
      </c>
      <c r="BD23" s="27">
        <f t="shared" si="36"/>
        <v>0</v>
      </c>
      <c r="BE23" s="27">
        <f t="shared" si="37"/>
        <v>0</v>
      </c>
      <c r="BF23" s="27">
        <f t="shared" si="37"/>
        <v>0</v>
      </c>
      <c r="BG23" s="27">
        <f t="shared" si="37"/>
        <v>0</v>
      </c>
      <c r="BH23" s="27">
        <f t="shared" si="37"/>
        <v>0</v>
      </c>
      <c r="BI23" s="27">
        <f t="shared" si="37"/>
        <v>0</v>
      </c>
      <c r="BJ23" s="27">
        <f t="shared" si="37"/>
        <v>0</v>
      </c>
      <c r="BK23" s="27">
        <f t="shared" si="37"/>
        <v>0</v>
      </c>
      <c r="BL23" s="27">
        <f t="shared" si="37"/>
        <v>0</v>
      </c>
      <c r="BM23" s="27">
        <f t="shared" si="37"/>
        <v>0</v>
      </c>
      <c r="BN23" s="27">
        <f t="shared" si="37"/>
        <v>0</v>
      </c>
      <c r="BO23" s="27">
        <f t="shared" si="37"/>
        <v>0</v>
      </c>
      <c r="BP23" s="27">
        <f t="shared" si="37"/>
        <v>0</v>
      </c>
      <c r="BQ23" s="27"/>
      <c r="BR23" s="27"/>
      <c r="BS23" s="27"/>
      <c r="BT23" s="27">
        <f t="shared" si="38"/>
        <v>0</v>
      </c>
      <c r="BU23" s="29">
        <f t="shared" si="10"/>
        <v>0.64663207499999997</v>
      </c>
      <c r="BV23" s="27">
        <f t="shared" si="39"/>
        <v>129326415</v>
      </c>
      <c r="BW23" s="27"/>
      <c r="BX23" s="27"/>
      <c r="BY23" s="27">
        <f>+'[1]JUNIO 2016'!$H$732</f>
        <v>129326415</v>
      </c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9">
        <f t="shared" si="12"/>
        <v>0.35336792500000003</v>
      </c>
      <c r="CR23" s="27">
        <f t="shared" si="40"/>
        <v>70673585</v>
      </c>
      <c r="CS23" s="27">
        <f t="shared" si="41"/>
        <v>0</v>
      </c>
      <c r="CT23" s="27">
        <f t="shared" si="41"/>
        <v>0</v>
      </c>
      <c r="CU23" s="27">
        <f t="shared" si="41"/>
        <v>70673585</v>
      </c>
      <c r="CV23" s="27">
        <f t="shared" si="41"/>
        <v>0</v>
      </c>
      <c r="CW23" s="27">
        <f t="shared" si="41"/>
        <v>0</v>
      </c>
      <c r="CX23" s="27">
        <f t="shared" si="41"/>
        <v>0</v>
      </c>
      <c r="CY23" s="27">
        <f t="shared" si="41"/>
        <v>0</v>
      </c>
      <c r="CZ23" s="27">
        <f t="shared" si="42"/>
        <v>0</v>
      </c>
      <c r="DA23" s="27">
        <f t="shared" si="42"/>
        <v>0</v>
      </c>
      <c r="DB23" s="27">
        <f t="shared" si="42"/>
        <v>0</v>
      </c>
      <c r="DC23" s="27">
        <f t="shared" si="43"/>
        <v>0</v>
      </c>
      <c r="DD23" s="27">
        <f t="shared" si="43"/>
        <v>0</v>
      </c>
      <c r="DE23" s="27">
        <f t="shared" si="43"/>
        <v>0</v>
      </c>
      <c r="DF23" s="27">
        <f t="shared" si="44"/>
        <v>0</v>
      </c>
      <c r="DG23" s="27">
        <f t="shared" si="44"/>
        <v>0</v>
      </c>
      <c r="DH23" s="27">
        <f t="shared" si="44"/>
        <v>0</v>
      </c>
      <c r="DI23" s="27"/>
      <c r="DJ23" s="27">
        <f t="shared" si="45"/>
        <v>0</v>
      </c>
      <c r="DK23" s="27">
        <f t="shared" si="45"/>
        <v>0</v>
      </c>
      <c r="DL23" s="27">
        <f t="shared" si="45"/>
        <v>0</v>
      </c>
      <c r="DN23" s="33">
        <f t="shared" si="19"/>
        <v>200000000</v>
      </c>
      <c r="DO23" s="33">
        <f t="shared" si="20"/>
        <v>200000000</v>
      </c>
      <c r="DP23" s="33">
        <f t="shared" si="21"/>
        <v>200000000</v>
      </c>
    </row>
    <row r="24" spans="1:121" ht="24" customHeight="1" x14ac:dyDescent="0.25">
      <c r="A24" s="34"/>
      <c r="B24" s="229" t="s">
        <v>94</v>
      </c>
      <c r="C24" s="56" t="s">
        <v>95</v>
      </c>
      <c r="D24" s="24" t="s">
        <v>96</v>
      </c>
      <c r="E24" s="25">
        <v>410</v>
      </c>
      <c r="F24" s="26" t="s">
        <v>89</v>
      </c>
      <c r="G24" s="27">
        <f t="shared" si="32"/>
        <v>10000000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>
        <v>10000000</v>
      </c>
      <c r="W24" s="27"/>
      <c r="X24" s="27"/>
      <c r="Y24" s="27"/>
      <c r="Z24" s="27"/>
      <c r="AA24" s="27"/>
      <c r="AC24" s="29">
        <f t="shared" si="1"/>
        <v>0</v>
      </c>
      <c r="AD24" s="27">
        <f t="shared" si="33"/>
        <v>0</v>
      </c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9">
        <f t="shared" si="3"/>
        <v>1</v>
      </c>
      <c r="AZ24" s="27">
        <f t="shared" si="34"/>
        <v>10000000</v>
      </c>
      <c r="BA24" s="27">
        <f t="shared" si="35"/>
        <v>0</v>
      </c>
      <c r="BB24" s="27">
        <f t="shared" si="36"/>
        <v>0</v>
      </c>
      <c r="BC24" s="27">
        <f t="shared" si="36"/>
        <v>0</v>
      </c>
      <c r="BD24" s="27">
        <f t="shared" si="36"/>
        <v>0</v>
      </c>
      <c r="BE24" s="27">
        <f t="shared" si="37"/>
        <v>0</v>
      </c>
      <c r="BF24" s="27">
        <f t="shared" si="37"/>
        <v>0</v>
      </c>
      <c r="BG24" s="27">
        <f t="shared" si="37"/>
        <v>0</v>
      </c>
      <c r="BH24" s="27">
        <f t="shared" si="37"/>
        <v>0</v>
      </c>
      <c r="BI24" s="27">
        <f t="shared" si="37"/>
        <v>0</v>
      </c>
      <c r="BJ24" s="27">
        <f t="shared" si="37"/>
        <v>0</v>
      </c>
      <c r="BK24" s="27">
        <f t="shared" si="37"/>
        <v>0</v>
      </c>
      <c r="BL24" s="27">
        <f t="shared" si="37"/>
        <v>0</v>
      </c>
      <c r="BM24" s="27">
        <f t="shared" si="37"/>
        <v>0</v>
      </c>
      <c r="BN24" s="27">
        <f t="shared" si="37"/>
        <v>0</v>
      </c>
      <c r="BO24" s="27">
        <f t="shared" si="37"/>
        <v>10000000</v>
      </c>
      <c r="BP24" s="27">
        <f t="shared" si="37"/>
        <v>0</v>
      </c>
      <c r="BQ24" s="27"/>
      <c r="BR24" s="27"/>
      <c r="BS24" s="27"/>
      <c r="BT24" s="27">
        <f t="shared" si="38"/>
        <v>0</v>
      </c>
      <c r="BU24" s="29">
        <f t="shared" si="10"/>
        <v>0</v>
      </c>
      <c r="BV24" s="27">
        <f t="shared" si="39"/>
        <v>0</v>
      </c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9">
        <f t="shared" si="12"/>
        <v>1</v>
      </c>
      <c r="CR24" s="27">
        <f t="shared" si="40"/>
        <v>10000000</v>
      </c>
      <c r="CS24" s="27">
        <f t="shared" si="41"/>
        <v>0</v>
      </c>
      <c r="CT24" s="27">
        <f t="shared" si="41"/>
        <v>0</v>
      </c>
      <c r="CU24" s="27">
        <f t="shared" si="41"/>
        <v>0</v>
      </c>
      <c r="CV24" s="27">
        <f t="shared" si="41"/>
        <v>0</v>
      </c>
      <c r="CW24" s="27">
        <f t="shared" si="41"/>
        <v>0</v>
      </c>
      <c r="CX24" s="27">
        <f t="shared" si="41"/>
        <v>0</v>
      </c>
      <c r="CY24" s="27">
        <f t="shared" si="41"/>
        <v>0</v>
      </c>
      <c r="CZ24" s="27">
        <f t="shared" si="42"/>
        <v>0</v>
      </c>
      <c r="DA24" s="27">
        <f t="shared" si="42"/>
        <v>0</v>
      </c>
      <c r="DB24" s="27">
        <f t="shared" si="42"/>
        <v>0</v>
      </c>
      <c r="DC24" s="27">
        <f t="shared" si="43"/>
        <v>0</v>
      </c>
      <c r="DD24" s="27">
        <f t="shared" si="43"/>
        <v>0</v>
      </c>
      <c r="DE24" s="27">
        <f t="shared" si="43"/>
        <v>0</v>
      </c>
      <c r="DF24" s="27">
        <f t="shared" si="44"/>
        <v>0</v>
      </c>
      <c r="DG24" s="27">
        <f t="shared" si="44"/>
        <v>10000000</v>
      </c>
      <c r="DH24" s="27">
        <f t="shared" si="44"/>
        <v>0</v>
      </c>
      <c r="DI24" s="27"/>
      <c r="DJ24" s="27">
        <f t="shared" si="45"/>
        <v>0</v>
      </c>
      <c r="DK24" s="27">
        <f t="shared" si="45"/>
        <v>0</v>
      </c>
      <c r="DL24" s="27">
        <f t="shared" si="45"/>
        <v>0</v>
      </c>
      <c r="DN24" s="33">
        <f t="shared" si="19"/>
        <v>10000000</v>
      </c>
      <c r="DO24" s="33">
        <f t="shared" si="20"/>
        <v>10000000</v>
      </c>
      <c r="DP24" s="33">
        <f t="shared" si="21"/>
        <v>10000000</v>
      </c>
    </row>
    <row r="25" spans="1:121" ht="24" customHeight="1" x14ac:dyDescent="0.25">
      <c r="A25" s="34"/>
      <c r="B25" s="230"/>
      <c r="C25" s="23" t="s">
        <v>97</v>
      </c>
      <c r="D25" s="24" t="s">
        <v>98</v>
      </c>
      <c r="E25" s="25">
        <v>410</v>
      </c>
      <c r="F25" s="26" t="s">
        <v>99</v>
      </c>
      <c r="G25" s="27">
        <f t="shared" si="32"/>
        <v>10000000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>
        <v>10000000</v>
      </c>
      <c r="W25" s="27"/>
      <c r="X25" s="27"/>
      <c r="Y25" s="27"/>
      <c r="Z25" s="27"/>
      <c r="AA25" s="27"/>
      <c r="AC25" s="29">
        <f t="shared" si="1"/>
        <v>1</v>
      </c>
      <c r="AD25" s="27">
        <f t="shared" si="33"/>
        <v>10000000</v>
      </c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>
        <f>+'[4]ABRIL 2016'!$Y$572</f>
        <v>10000000</v>
      </c>
      <c r="AT25" s="27"/>
      <c r="AU25" s="27"/>
      <c r="AV25" s="27"/>
      <c r="AW25" s="27"/>
      <c r="AX25" s="27"/>
      <c r="AY25" s="29">
        <f t="shared" si="3"/>
        <v>0</v>
      </c>
      <c r="AZ25" s="27">
        <f t="shared" si="34"/>
        <v>0</v>
      </c>
      <c r="BA25" s="27">
        <f t="shared" si="35"/>
        <v>0</v>
      </c>
      <c r="BB25" s="27">
        <f t="shared" si="36"/>
        <v>0</v>
      </c>
      <c r="BC25" s="27">
        <f t="shared" si="36"/>
        <v>0</v>
      </c>
      <c r="BD25" s="27">
        <f t="shared" si="36"/>
        <v>0</v>
      </c>
      <c r="BE25" s="27">
        <f t="shared" si="37"/>
        <v>0</v>
      </c>
      <c r="BF25" s="27">
        <f t="shared" si="37"/>
        <v>0</v>
      </c>
      <c r="BG25" s="27">
        <f t="shared" si="37"/>
        <v>0</v>
      </c>
      <c r="BH25" s="27">
        <f t="shared" si="37"/>
        <v>0</v>
      </c>
      <c r="BI25" s="27">
        <f t="shared" si="37"/>
        <v>0</v>
      </c>
      <c r="BJ25" s="27">
        <f t="shared" si="37"/>
        <v>0</v>
      </c>
      <c r="BK25" s="27">
        <f t="shared" si="37"/>
        <v>0</v>
      </c>
      <c r="BL25" s="27">
        <f t="shared" si="37"/>
        <v>0</v>
      </c>
      <c r="BM25" s="27">
        <f t="shared" si="37"/>
        <v>0</v>
      </c>
      <c r="BN25" s="27">
        <f t="shared" si="37"/>
        <v>0</v>
      </c>
      <c r="BO25" s="27">
        <f t="shared" si="37"/>
        <v>0</v>
      </c>
      <c r="BP25" s="27">
        <f t="shared" si="37"/>
        <v>0</v>
      </c>
      <c r="BQ25" s="27"/>
      <c r="BR25" s="27"/>
      <c r="BS25" s="27"/>
      <c r="BT25" s="27">
        <f t="shared" si="38"/>
        <v>0</v>
      </c>
      <c r="BU25" s="29">
        <f t="shared" si="10"/>
        <v>1</v>
      </c>
      <c r="BV25" s="27">
        <f t="shared" si="39"/>
        <v>10000000</v>
      </c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>
        <f>+'[4]ABRIL 2016'!$Y$572</f>
        <v>10000000</v>
      </c>
      <c r="CL25" s="27"/>
      <c r="CM25" s="27"/>
      <c r="CN25" s="27"/>
      <c r="CO25" s="27"/>
      <c r="CP25" s="27"/>
      <c r="CQ25" s="29">
        <f t="shared" si="12"/>
        <v>0</v>
      </c>
      <c r="CR25" s="27">
        <f t="shared" si="40"/>
        <v>0</v>
      </c>
      <c r="CS25" s="27">
        <f t="shared" si="41"/>
        <v>0</v>
      </c>
      <c r="CT25" s="27">
        <f t="shared" si="41"/>
        <v>0</v>
      </c>
      <c r="CU25" s="27">
        <f t="shared" si="41"/>
        <v>0</v>
      </c>
      <c r="CV25" s="27">
        <f t="shared" si="41"/>
        <v>0</v>
      </c>
      <c r="CW25" s="27">
        <f t="shared" si="41"/>
        <v>0</v>
      </c>
      <c r="CX25" s="27">
        <f t="shared" si="41"/>
        <v>0</v>
      </c>
      <c r="CY25" s="27">
        <f t="shared" si="41"/>
        <v>0</v>
      </c>
      <c r="CZ25" s="27">
        <f t="shared" si="42"/>
        <v>0</v>
      </c>
      <c r="DA25" s="27">
        <f t="shared" si="42"/>
        <v>0</v>
      </c>
      <c r="DB25" s="27">
        <f t="shared" si="42"/>
        <v>0</v>
      </c>
      <c r="DC25" s="27">
        <f t="shared" si="43"/>
        <v>0</v>
      </c>
      <c r="DD25" s="27">
        <f t="shared" si="43"/>
        <v>0</v>
      </c>
      <c r="DE25" s="27">
        <f t="shared" si="43"/>
        <v>0</v>
      </c>
      <c r="DF25" s="27">
        <f t="shared" si="44"/>
        <v>0</v>
      </c>
      <c r="DG25" s="27">
        <f t="shared" si="44"/>
        <v>0</v>
      </c>
      <c r="DH25" s="27">
        <f t="shared" si="44"/>
        <v>0</v>
      </c>
      <c r="DI25" s="27"/>
      <c r="DJ25" s="27">
        <f t="shared" si="45"/>
        <v>0</v>
      </c>
      <c r="DK25" s="27">
        <f t="shared" si="45"/>
        <v>0</v>
      </c>
      <c r="DL25" s="27">
        <f t="shared" si="45"/>
        <v>0</v>
      </c>
      <c r="DN25" s="33">
        <f t="shared" si="19"/>
        <v>10000000</v>
      </c>
      <c r="DO25" s="33">
        <f t="shared" si="20"/>
        <v>10000000</v>
      </c>
      <c r="DP25" s="33">
        <f t="shared" si="21"/>
        <v>10000000</v>
      </c>
    </row>
    <row r="26" spans="1:121" ht="29.25" customHeight="1" x14ac:dyDescent="0.25">
      <c r="A26" s="34"/>
      <c r="B26" s="230"/>
      <c r="C26" s="23" t="s">
        <v>100</v>
      </c>
      <c r="D26" s="24" t="s">
        <v>101</v>
      </c>
      <c r="E26" s="25">
        <v>410</v>
      </c>
      <c r="F26" s="26" t="s">
        <v>99</v>
      </c>
      <c r="G26" s="27">
        <f t="shared" si="32"/>
        <v>0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>
        <f>20000000-20000000</f>
        <v>0</v>
      </c>
      <c r="W26" s="27"/>
      <c r="X26" s="27"/>
      <c r="Y26" s="27"/>
      <c r="Z26" s="27"/>
      <c r="AA26" s="27"/>
      <c r="AC26" s="29" t="e">
        <f t="shared" si="1"/>
        <v>#DIV/0!</v>
      </c>
      <c r="AD26" s="27">
        <f t="shared" si="33"/>
        <v>0</v>
      </c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9" t="e">
        <f t="shared" si="3"/>
        <v>#DIV/0!</v>
      </c>
      <c r="AZ26" s="27">
        <f t="shared" si="34"/>
        <v>0</v>
      </c>
      <c r="BA26" s="27">
        <f t="shared" si="35"/>
        <v>0</v>
      </c>
      <c r="BB26" s="27">
        <f t="shared" si="36"/>
        <v>0</v>
      </c>
      <c r="BC26" s="27">
        <f t="shared" si="36"/>
        <v>0</v>
      </c>
      <c r="BD26" s="27">
        <f t="shared" si="36"/>
        <v>0</v>
      </c>
      <c r="BE26" s="27">
        <f t="shared" si="37"/>
        <v>0</v>
      </c>
      <c r="BF26" s="27">
        <f t="shared" si="37"/>
        <v>0</v>
      </c>
      <c r="BG26" s="27">
        <f t="shared" si="37"/>
        <v>0</v>
      </c>
      <c r="BH26" s="27">
        <f t="shared" si="37"/>
        <v>0</v>
      </c>
      <c r="BI26" s="27">
        <f t="shared" si="37"/>
        <v>0</v>
      </c>
      <c r="BJ26" s="27">
        <f t="shared" si="37"/>
        <v>0</v>
      </c>
      <c r="BK26" s="27">
        <f t="shared" si="37"/>
        <v>0</v>
      </c>
      <c r="BL26" s="27">
        <f t="shared" si="37"/>
        <v>0</v>
      </c>
      <c r="BM26" s="27">
        <f t="shared" si="37"/>
        <v>0</v>
      </c>
      <c r="BN26" s="27">
        <f t="shared" si="37"/>
        <v>0</v>
      </c>
      <c r="BO26" s="27">
        <f t="shared" si="37"/>
        <v>0</v>
      </c>
      <c r="BP26" s="27">
        <f t="shared" si="37"/>
        <v>0</v>
      </c>
      <c r="BQ26" s="27"/>
      <c r="BR26" s="27"/>
      <c r="BS26" s="27"/>
      <c r="BT26" s="27">
        <f t="shared" si="38"/>
        <v>0</v>
      </c>
      <c r="BU26" s="29" t="e">
        <f t="shared" si="10"/>
        <v>#DIV/0!</v>
      </c>
      <c r="BV26" s="27">
        <f t="shared" si="39"/>
        <v>0</v>
      </c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9" t="e">
        <f t="shared" si="12"/>
        <v>#DIV/0!</v>
      </c>
      <c r="CR26" s="27">
        <f t="shared" si="40"/>
        <v>0</v>
      </c>
      <c r="CS26" s="27">
        <f t="shared" si="41"/>
        <v>0</v>
      </c>
      <c r="CT26" s="27">
        <f t="shared" si="41"/>
        <v>0</v>
      </c>
      <c r="CU26" s="27">
        <f t="shared" si="41"/>
        <v>0</v>
      </c>
      <c r="CV26" s="27">
        <f t="shared" si="41"/>
        <v>0</v>
      </c>
      <c r="CW26" s="27">
        <f t="shared" si="41"/>
        <v>0</v>
      </c>
      <c r="CX26" s="27">
        <f t="shared" si="41"/>
        <v>0</v>
      </c>
      <c r="CY26" s="27">
        <f t="shared" si="41"/>
        <v>0</v>
      </c>
      <c r="CZ26" s="27">
        <f t="shared" si="42"/>
        <v>0</v>
      </c>
      <c r="DA26" s="27">
        <f t="shared" si="42"/>
        <v>0</v>
      </c>
      <c r="DB26" s="27">
        <f t="shared" si="42"/>
        <v>0</v>
      </c>
      <c r="DC26" s="27">
        <f t="shared" si="43"/>
        <v>0</v>
      </c>
      <c r="DD26" s="27">
        <f t="shared" si="43"/>
        <v>0</v>
      </c>
      <c r="DE26" s="27">
        <f t="shared" si="43"/>
        <v>0</v>
      </c>
      <c r="DF26" s="27">
        <f t="shared" si="44"/>
        <v>0</v>
      </c>
      <c r="DG26" s="27">
        <f t="shared" si="44"/>
        <v>0</v>
      </c>
      <c r="DH26" s="27">
        <f t="shared" si="44"/>
        <v>0</v>
      </c>
      <c r="DI26" s="27"/>
      <c r="DJ26" s="27">
        <f t="shared" si="45"/>
        <v>0</v>
      </c>
      <c r="DK26" s="27">
        <f t="shared" si="45"/>
        <v>0</v>
      </c>
      <c r="DL26" s="27">
        <f t="shared" si="45"/>
        <v>0</v>
      </c>
      <c r="DN26" s="33">
        <f t="shared" si="19"/>
        <v>0</v>
      </c>
      <c r="DO26" s="33">
        <f t="shared" si="20"/>
        <v>0</v>
      </c>
      <c r="DP26" s="33">
        <f t="shared" si="21"/>
        <v>0</v>
      </c>
    </row>
    <row r="27" spans="1:121" ht="36.75" customHeight="1" x14ac:dyDescent="0.25">
      <c r="A27" s="34"/>
      <c r="B27" s="230"/>
      <c r="C27" s="23" t="s">
        <v>102</v>
      </c>
      <c r="D27" s="24" t="s">
        <v>103</v>
      </c>
      <c r="E27" s="25">
        <v>410</v>
      </c>
      <c r="F27" s="26" t="s">
        <v>99</v>
      </c>
      <c r="G27" s="27">
        <f t="shared" si="32"/>
        <v>27000000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>
        <f>50000000-23000000</f>
        <v>27000000</v>
      </c>
      <c r="W27" s="27"/>
      <c r="X27" s="27"/>
      <c r="Y27" s="27"/>
      <c r="Z27" s="27"/>
      <c r="AA27" s="27"/>
      <c r="AC27" s="29">
        <f t="shared" si="1"/>
        <v>1</v>
      </c>
      <c r="AD27" s="27">
        <f t="shared" si="33"/>
        <v>27000000</v>
      </c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>
        <f>+'[4]ABRIL 2016'!$Y$585</f>
        <v>27000000</v>
      </c>
      <c r="AT27" s="27"/>
      <c r="AU27" s="27"/>
      <c r="AV27" s="27"/>
      <c r="AW27" s="27"/>
      <c r="AX27" s="27"/>
      <c r="AY27" s="29">
        <f t="shared" si="3"/>
        <v>0</v>
      </c>
      <c r="AZ27" s="27">
        <f t="shared" si="34"/>
        <v>0</v>
      </c>
      <c r="BA27" s="27">
        <f t="shared" si="35"/>
        <v>0</v>
      </c>
      <c r="BB27" s="27">
        <f t="shared" si="36"/>
        <v>0</v>
      </c>
      <c r="BC27" s="27">
        <f t="shared" si="36"/>
        <v>0</v>
      </c>
      <c r="BD27" s="27">
        <f t="shared" si="36"/>
        <v>0</v>
      </c>
      <c r="BE27" s="27">
        <f t="shared" si="37"/>
        <v>0</v>
      </c>
      <c r="BF27" s="27">
        <f t="shared" si="37"/>
        <v>0</v>
      </c>
      <c r="BG27" s="27">
        <f t="shared" si="37"/>
        <v>0</v>
      </c>
      <c r="BH27" s="27">
        <f t="shared" si="37"/>
        <v>0</v>
      </c>
      <c r="BI27" s="27">
        <f t="shared" si="37"/>
        <v>0</v>
      </c>
      <c r="BJ27" s="27">
        <f t="shared" si="37"/>
        <v>0</v>
      </c>
      <c r="BK27" s="27">
        <f t="shared" si="37"/>
        <v>0</v>
      </c>
      <c r="BL27" s="27">
        <f t="shared" si="37"/>
        <v>0</v>
      </c>
      <c r="BM27" s="27">
        <f t="shared" si="37"/>
        <v>0</v>
      </c>
      <c r="BN27" s="27">
        <f t="shared" si="37"/>
        <v>0</v>
      </c>
      <c r="BO27" s="27">
        <f t="shared" si="37"/>
        <v>0</v>
      </c>
      <c r="BP27" s="27">
        <f t="shared" si="37"/>
        <v>0</v>
      </c>
      <c r="BQ27" s="27"/>
      <c r="BR27" s="27"/>
      <c r="BS27" s="27"/>
      <c r="BT27" s="27">
        <f t="shared" si="38"/>
        <v>0</v>
      </c>
      <c r="BU27" s="29">
        <f t="shared" si="10"/>
        <v>0.57851851851851854</v>
      </c>
      <c r="BV27" s="27">
        <f t="shared" si="39"/>
        <v>15620000</v>
      </c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>
        <f>+'[1]JUNIO 2016'!$H$781</f>
        <v>15620000</v>
      </c>
      <c r="CL27" s="27"/>
      <c r="CM27" s="27"/>
      <c r="CN27" s="27"/>
      <c r="CO27" s="27"/>
      <c r="CP27" s="27"/>
      <c r="CQ27" s="29">
        <f t="shared" si="12"/>
        <v>0.42148148148148146</v>
      </c>
      <c r="CR27" s="27">
        <f t="shared" si="40"/>
        <v>11380000</v>
      </c>
      <c r="CS27" s="27">
        <f t="shared" si="41"/>
        <v>0</v>
      </c>
      <c r="CT27" s="27">
        <f t="shared" si="41"/>
        <v>0</v>
      </c>
      <c r="CU27" s="27">
        <f t="shared" si="41"/>
        <v>0</v>
      </c>
      <c r="CV27" s="27">
        <f t="shared" si="41"/>
        <v>0</v>
      </c>
      <c r="CW27" s="27">
        <f t="shared" si="41"/>
        <v>0</v>
      </c>
      <c r="CX27" s="27">
        <f t="shared" si="41"/>
        <v>0</v>
      </c>
      <c r="CY27" s="27">
        <f t="shared" si="41"/>
        <v>0</v>
      </c>
      <c r="CZ27" s="27">
        <f t="shared" si="42"/>
        <v>0</v>
      </c>
      <c r="DA27" s="27">
        <f t="shared" si="42"/>
        <v>0</v>
      </c>
      <c r="DB27" s="27">
        <f t="shared" si="42"/>
        <v>0</v>
      </c>
      <c r="DC27" s="27">
        <f t="shared" si="43"/>
        <v>0</v>
      </c>
      <c r="DD27" s="27">
        <f t="shared" si="43"/>
        <v>0</v>
      </c>
      <c r="DE27" s="27">
        <f t="shared" si="43"/>
        <v>0</v>
      </c>
      <c r="DF27" s="27">
        <f t="shared" si="44"/>
        <v>0</v>
      </c>
      <c r="DG27" s="27">
        <f t="shared" si="44"/>
        <v>11380000</v>
      </c>
      <c r="DH27" s="27">
        <f t="shared" si="44"/>
        <v>0</v>
      </c>
      <c r="DI27" s="27"/>
      <c r="DJ27" s="27">
        <f t="shared" si="45"/>
        <v>0</v>
      </c>
      <c r="DK27" s="27">
        <f t="shared" si="45"/>
        <v>0</v>
      </c>
      <c r="DL27" s="27">
        <f t="shared" si="45"/>
        <v>0</v>
      </c>
      <c r="DN27" s="33">
        <f t="shared" si="19"/>
        <v>27000000</v>
      </c>
      <c r="DO27" s="33">
        <f t="shared" si="20"/>
        <v>27000000</v>
      </c>
      <c r="DP27" s="33">
        <f t="shared" si="21"/>
        <v>27000000</v>
      </c>
    </row>
    <row r="28" spans="1:121" ht="23.25" customHeight="1" x14ac:dyDescent="0.25">
      <c r="A28" s="34"/>
      <c r="B28" s="230"/>
      <c r="C28" s="23" t="s">
        <v>104</v>
      </c>
      <c r="D28" s="24" t="s">
        <v>105</v>
      </c>
      <c r="E28" s="25">
        <v>410</v>
      </c>
      <c r="F28" s="26" t="s">
        <v>106</v>
      </c>
      <c r="G28" s="27">
        <f t="shared" si="32"/>
        <v>105000000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>
        <v>100000000</v>
      </c>
      <c r="W28" s="27"/>
      <c r="X28" s="27"/>
      <c r="Y28" s="27"/>
      <c r="Z28" s="27"/>
      <c r="AA28" s="27">
        <v>5000000</v>
      </c>
      <c r="AC28" s="29">
        <f t="shared" si="1"/>
        <v>0.76282810476190477</v>
      </c>
      <c r="AD28" s="27">
        <f t="shared" si="33"/>
        <v>80096951</v>
      </c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>
        <f>+'[1]JUNIO 2016'!$Y$793</f>
        <v>78946451</v>
      </c>
      <c r="AT28" s="27"/>
      <c r="AU28" s="27"/>
      <c r="AV28" s="27"/>
      <c r="AW28" s="27"/>
      <c r="AX28" s="27">
        <v>1150500</v>
      </c>
      <c r="AY28" s="29">
        <f t="shared" si="3"/>
        <v>0.23717189523809523</v>
      </c>
      <c r="AZ28" s="27">
        <f t="shared" si="34"/>
        <v>24903049</v>
      </c>
      <c r="BA28" s="27">
        <f t="shared" si="35"/>
        <v>0</v>
      </c>
      <c r="BB28" s="27">
        <f t="shared" si="36"/>
        <v>0</v>
      </c>
      <c r="BC28" s="27">
        <f t="shared" si="36"/>
        <v>0</v>
      </c>
      <c r="BD28" s="27">
        <f t="shared" si="36"/>
        <v>0</v>
      </c>
      <c r="BE28" s="27">
        <f t="shared" si="37"/>
        <v>0</v>
      </c>
      <c r="BF28" s="27">
        <f t="shared" si="37"/>
        <v>0</v>
      </c>
      <c r="BG28" s="27">
        <f t="shared" si="37"/>
        <v>0</v>
      </c>
      <c r="BH28" s="27">
        <f t="shared" si="37"/>
        <v>0</v>
      </c>
      <c r="BI28" s="27">
        <f t="shared" si="37"/>
        <v>0</v>
      </c>
      <c r="BJ28" s="27">
        <f t="shared" si="37"/>
        <v>0</v>
      </c>
      <c r="BK28" s="27">
        <f t="shared" si="37"/>
        <v>0</v>
      </c>
      <c r="BL28" s="27">
        <f t="shared" si="37"/>
        <v>0</v>
      </c>
      <c r="BM28" s="27">
        <f t="shared" si="37"/>
        <v>0</v>
      </c>
      <c r="BN28" s="27">
        <f t="shared" si="37"/>
        <v>0</v>
      </c>
      <c r="BO28" s="27">
        <f t="shared" si="37"/>
        <v>21053549</v>
      </c>
      <c r="BP28" s="27">
        <f t="shared" si="37"/>
        <v>0</v>
      </c>
      <c r="BQ28" s="27"/>
      <c r="BR28" s="27"/>
      <c r="BS28" s="27"/>
      <c r="BT28" s="27">
        <f t="shared" si="38"/>
        <v>3849500</v>
      </c>
      <c r="BU28" s="29">
        <f t="shared" si="10"/>
        <v>0.54172334285714285</v>
      </c>
      <c r="BV28" s="27">
        <f t="shared" si="39"/>
        <v>56880951</v>
      </c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>
        <f>+'[1]JUNIO 2016'!$H$791-CP28</f>
        <v>55730451</v>
      </c>
      <c r="CL28" s="27"/>
      <c r="CM28" s="27"/>
      <c r="CN28" s="27"/>
      <c r="CO28" s="27"/>
      <c r="CP28" s="27">
        <v>1150500</v>
      </c>
      <c r="CQ28" s="29">
        <f t="shared" si="12"/>
        <v>0.45827665714285715</v>
      </c>
      <c r="CR28" s="27">
        <f t="shared" si="40"/>
        <v>48119049</v>
      </c>
      <c r="CS28" s="27">
        <f t="shared" si="41"/>
        <v>0</v>
      </c>
      <c r="CT28" s="27">
        <f t="shared" si="41"/>
        <v>0</v>
      </c>
      <c r="CU28" s="27">
        <f t="shared" si="41"/>
        <v>0</v>
      </c>
      <c r="CV28" s="27">
        <f t="shared" si="41"/>
        <v>0</v>
      </c>
      <c r="CW28" s="27">
        <f t="shared" si="41"/>
        <v>0</v>
      </c>
      <c r="CX28" s="27">
        <f t="shared" si="41"/>
        <v>0</v>
      </c>
      <c r="CY28" s="27">
        <f t="shared" si="41"/>
        <v>0</v>
      </c>
      <c r="CZ28" s="27">
        <f t="shared" si="42"/>
        <v>0</v>
      </c>
      <c r="DA28" s="27">
        <f t="shared" si="42"/>
        <v>0</v>
      </c>
      <c r="DB28" s="27">
        <f t="shared" si="42"/>
        <v>0</v>
      </c>
      <c r="DC28" s="27">
        <f t="shared" si="43"/>
        <v>0</v>
      </c>
      <c r="DD28" s="27">
        <f t="shared" si="43"/>
        <v>0</v>
      </c>
      <c r="DE28" s="27">
        <f t="shared" si="43"/>
        <v>0</v>
      </c>
      <c r="DF28" s="27">
        <f t="shared" si="44"/>
        <v>0</v>
      </c>
      <c r="DG28" s="27">
        <f t="shared" si="44"/>
        <v>44269549</v>
      </c>
      <c r="DH28" s="27">
        <f t="shared" si="44"/>
        <v>0</v>
      </c>
      <c r="DI28" s="27"/>
      <c r="DJ28" s="27">
        <f t="shared" si="45"/>
        <v>0</v>
      </c>
      <c r="DK28" s="27">
        <f t="shared" si="45"/>
        <v>0</v>
      </c>
      <c r="DL28" s="27">
        <f t="shared" si="45"/>
        <v>3849500</v>
      </c>
      <c r="DN28" s="33">
        <f t="shared" si="19"/>
        <v>105000000</v>
      </c>
      <c r="DO28" s="33">
        <f t="shared" si="20"/>
        <v>105000000</v>
      </c>
      <c r="DP28" s="33">
        <f t="shared" si="21"/>
        <v>105000000</v>
      </c>
    </row>
    <row r="29" spans="1:121" ht="23.25" customHeight="1" x14ac:dyDescent="0.25">
      <c r="A29" s="34"/>
      <c r="B29" s="230"/>
      <c r="C29" s="23" t="s">
        <v>107</v>
      </c>
      <c r="D29" s="24" t="s">
        <v>108</v>
      </c>
      <c r="E29" s="25">
        <v>410</v>
      </c>
      <c r="F29" s="26" t="s">
        <v>99</v>
      </c>
      <c r="G29" s="27">
        <f t="shared" si="32"/>
        <v>100000000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>
        <v>100000000</v>
      </c>
      <c r="W29" s="27"/>
      <c r="X29" s="27"/>
      <c r="Y29" s="27"/>
      <c r="Z29" s="27"/>
      <c r="AA29" s="27"/>
      <c r="AC29" s="29">
        <f t="shared" si="1"/>
        <v>0.78837499</v>
      </c>
      <c r="AD29" s="27">
        <f t="shared" si="33"/>
        <v>78837499</v>
      </c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>
        <f>+'[1]JUNIO 2016'!$Y$835</f>
        <v>78837499</v>
      </c>
      <c r="AT29" s="27"/>
      <c r="AU29" s="27"/>
      <c r="AV29" s="27"/>
      <c r="AW29" s="27"/>
      <c r="AX29" s="27"/>
      <c r="AY29" s="29">
        <f t="shared" si="3"/>
        <v>0.21162501</v>
      </c>
      <c r="AZ29" s="27">
        <f t="shared" si="34"/>
        <v>21162501</v>
      </c>
      <c r="BA29" s="27">
        <f t="shared" si="35"/>
        <v>0</v>
      </c>
      <c r="BB29" s="27">
        <f t="shared" si="36"/>
        <v>0</v>
      </c>
      <c r="BC29" s="27">
        <f t="shared" si="36"/>
        <v>0</v>
      </c>
      <c r="BD29" s="27">
        <f t="shared" si="36"/>
        <v>0</v>
      </c>
      <c r="BE29" s="27">
        <f t="shared" si="37"/>
        <v>0</v>
      </c>
      <c r="BF29" s="27">
        <f t="shared" si="37"/>
        <v>0</v>
      </c>
      <c r="BG29" s="27">
        <f t="shared" si="37"/>
        <v>0</v>
      </c>
      <c r="BH29" s="27">
        <f t="shared" si="37"/>
        <v>0</v>
      </c>
      <c r="BI29" s="27">
        <f t="shared" si="37"/>
        <v>0</v>
      </c>
      <c r="BJ29" s="27">
        <f t="shared" si="37"/>
        <v>0</v>
      </c>
      <c r="BK29" s="27">
        <f t="shared" si="37"/>
        <v>0</v>
      </c>
      <c r="BL29" s="27">
        <f t="shared" si="37"/>
        <v>0</v>
      </c>
      <c r="BM29" s="27">
        <f t="shared" si="37"/>
        <v>0</v>
      </c>
      <c r="BN29" s="27">
        <f t="shared" si="37"/>
        <v>0</v>
      </c>
      <c r="BO29" s="27">
        <f t="shared" si="37"/>
        <v>21162501</v>
      </c>
      <c r="BP29" s="27">
        <f t="shared" si="37"/>
        <v>0</v>
      </c>
      <c r="BQ29" s="27"/>
      <c r="BR29" s="27"/>
      <c r="BS29" s="27"/>
      <c r="BT29" s="27">
        <f t="shared" si="38"/>
        <v>0</v>
      </c>
      <c r="BU29" s="29">
        <f t="shared" si="10"/>
        <v>0.78837499</v>
      </c>
      <c r="BV29" s="27">
        <f t="shared" si="39"/>
        <v>78837499</v>
      </c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>
        <f>+'[1]JUNIO 2016'!$H$833</f>
        <v>78837499</v>
      </c>
      <c r="CL29" s="27"/>
      <c r="CM29" s="27"/>
      <c r="CN29" s="27"/>
      <c r="CO29" s="27"/>
      <c r="CP29" s="27"/>
      <c r="CQ29" s="29">
        <f t="shared" si="12"/>
        <v>0.21162501</v>
      </c>
      <c r="CR29" s="27">
        <f t="shared" si="40"/>
        <v>21162501</v>
      </c>
      <c r="CS29" s="27">
        <f t="shared" si="41"/>
        <v>0</v>
      </c>
      <c r="CT29" s="27">
        <f t="shared" si="41"/>
        <v>0</v>
      </c>
      <c r="CU29" s="27">
        <f t="shared" si="41"/>
        <v>0</v>
      </c>
      <c r="CV29" s="27">
        <f t="shared" si="41"/>
        <v>0</v>
      </c>
      <c r="CW29" s="27">
        <f t="shared" si="41"/>
        <v>0</v>
      </c>
      <c r="CX29" s="27">
        <f t="shared" si="41"/>
        <v>0</v>
      </c>
      <c r="CY29" s="27">
        <f t="shared" si="41"/>
        <v>0</v>
      </c>
      <c r="CZ29" s="27">
        <f t="shared" si="42"/>
        <v>0</v>
      </c>
      <c r="DA29" s="27">
        <f t="shared" si="42"/>
        <v>0</v>
      </c>
      <c r="DB29" s="27">
        <f t="shared" si="42"/>
        <v>0</v>
      </c>
      <c r="DC29" s="27">
        <f t="shared" si="43"/>
        <v>0</v>
      </c>
      <c r="DD29" s="27">
        <f t="shared" si="43"/>
        <v>0</v>
      </c>
      <c r="DE29" s="27">
        <f t="shared" si="43"/>
        <v>0</v>
      </c>
      <c r="DF29" s="27">
        <f t="shared" si="44"/>
        <v>0</v>
      </c>
      <c r="DG29" s="27">
        <f t="shared" si="44"/>
        <v>21162501</v>
      </c>
      <c r="DH29" s="27">
        <f t="shared" si="44"/>
        <v>0</v>
      </c>
      <c r="DI29" s="27"/>
      <c r="DJ29" s="27">
        <f t="shared" si="45"/>
        <v>0</v>
      </c>
      <c r="DK29" s="27">
        <f t="shared" si="45"/>
        <v>0</v>
      </c>
      <c r="DL29" s="27">
        <f t="shared" si="45"/>
        <v>0</v>
      </c>
      <c r="DN29" s="33">
        <f t="shared" si="19"/>
        <v>100000000</v>
      </c>
      <c r="DO29" s="33">
        <f t="shared" si="20"/>
        <v>100000000</v>
      </c>
      <c r="DP29" s="33">
        <f t="shared" si="21"/>
        <v>100000000</v>
      </c>
    </row>
    <row r="30" spans="1:121" ht="22.5" customHeight="1" x14ac:dyDescent="0.25">
      <c r="A30" s="34"/>
      <c r="B30" s="230"/>
      <c r="C30" s="23" t="s">
        <v>109</v>
      </c>
      <c r="D30" s="24" t="s">
        <v>110</v>
      </c>
      <c r="E30" s="25">
        <v>410</v>
      </c>
      <c r="F30" s="26" t="s">
        <v>75</v>
      </c>
      <c r="G30" s="27">
        <f t="shared" si="32"/>
        <v>12000000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>
        <f>6000000+2000000+4000000</f>
        <v>12000000</v>
      </c>
      <c r="AC30" s="29">
        <f t="shared" si="1"/>
        <v>0.49446925000000003</v>
      </c>
      <c r="AD30" s="27">
        <f t="shared" si="33"/>
        <v>5933631</v>
      </c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>
        <f>+'[1]JUNIO 2016'!$AG$861</f>
        <v>5933631</v>
      </c>
      <c r="AY30" s="29">
        <f t="shared" si="3"/>
        <v>0.50553074999999992</v>
      </c>
      <c r="AZ30" s="27">
        <f t="shared" si="34"/>
        <v>6066369</v>
      </c>
      <c r="BA30" s="27">
        <f t="shared" si="35"/>
        <v>0</v>
      </c>
      <c r="BB30" s="27">
        <f t="shared" si="36"/>
        <v>0</v>
      </c>
      <c r="BC30" s="27">
        <f t="shared" si="36"/>
        <v>0</v>
      </c>
      <c r="BD30" s="27">
        <f t="shared" si="36"/>
        <v>0</v>
      </c>
      <c r="BE30" s="27">
        <f t="shared" si="37"/>
        <v>0</v>
      </c>
      <c r="BF30" s="27">
        <f t="shared" si="37"/>
        <v>0</v>
      </c>
      <c r="BG30" s="27">
        <f t="shared" si="37"/>
        <v>0</v>
      </c>
      <c r="BH30" s="27">
        <f t="shared" si="37"/>
        <v>0</v>
      </c>
      <c r="BI30" s="27">
        <f t="shared" si="37"/>
        <v>0</v>
      </c>
      <c r="BJ30" s="27">
        <f t="shared" si="37"/>
        <v>0</v>
      </c>
      <c r="BK30" s="27">
        <f t="shared" si="37"/>
        <v>0</v>
      </c>
      <c r="BL30" s="27">
        <f t="shared" si="37"/>
        <v>0</v>
      </c>
      <c r="BM30" s="27">
        <f t="shared" si="37"/>
        <v>0</v>
      </c>
      <c r="BN30" s="27"/>
      <c r="BO30" s="27">
        <f t="shared" si="37"/>
        <v>0</v>
      </c>
      <c r="BP30" s="27">
        <f t="shared" si="37"/>
        <v>0</v>
      </c>
      <c r="BQ30" s="27"/>
      <c r="BR30" s="27"/>
      <c r="BS30" s="27"/>
      <c r="BT30" s="27">
        <f t="shared" si="38"/>
        <v>6066369</v>
      </c>
      <c r="BU30" s="29">
        <f t="shared" si="10"/>
        <v>0.49446925000000003</v>
      </c>
      <c r="BV30" s="27">
        <f t="shared" si="39"/>
        <v>5933631</v>
      </c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>
        <f>+'[1]JUNIO 2016'!$H$859</f>
        <v>5933631</v>
      </c>
      <c r="CQ30" s="29">
        <f t="shared" si="12"/>
        <v>0.50553074999999992</v>
      </c>
      <c r="CR30" s="27">
        <f t="shared" si="40"/>
        <v>6066369</v>
      </c>
      <c r="CS30" s="27">
        <f t="shared" si="41"/>
        <v>0</v>
      </c>
      <c r="CT30" s="27">
        <f t="shared" si="41"/>
        <v>0</v>
      </c>
      <c r="CU30" s="27">
        <f t="shared" si="41"/>
        <v>0</v>
      </c>
      <c r="CV30" s="27">
        <f t="shared" si="41"/>
        <v>0</v>
      </c>
      <c r="CW30" s="27">
        <f t="shared" si="41"/>
        <v>0</v>
      </c>
      <c r="CX30" s="27">
        <f t="shared" si="41"/>
        <v>0</v>
      </c>
      <c r="CY30" s="27">
        <f t="shared" si="41"/>
        <v>0</v>
      </c>
      <c r="CZ30" s="27">
        <f t="shared" si="42"/>
        <v>0</v>
      </c>
      <c r="DA30" s="27">
        <f t="shared" si="42"/>
        <v>0</v>
      </c>
      <c r="DB30" s="27">
        <f t="shared" si="42"/>
        <v>0</v>
      </c>
      <c r="DC30" s="27">
        <f t="shared" si="43"/>
        <v>0</v>
      </c>
      <c r="DD30" s="27">
        <f t="shared" si="43"/>
        <v>0</v>
      </c>
      <c r="DE30" s="27">
        <f t="shared" si="43"/>
        <v>0</v>
      </c>
      <c r="DF30" s="27">
        <f t="shared" si="43"/>
        <v>0</v>
      </c>
      <c r="DG30" s="27">
        <f t="shared" si="43"/>
        <v>0</v>
      </c>
      <c r="DH30" s="27">
        <f t="shared" si="43"/>
        <v>0</v>
      </c>
      <c r="DI30" s="27"/>
      <c r="DJ30" s="27">
        <f t="shared" ref="DJ30:DL45" si="46">Y30-CN30</f>
        <v>0</v>
      </c>
      <c r="DK30" s="27">
        <f t="shared" si="46"/>
        <v>0</v>
      </c>
      <c r="DL30" s="27">
        <f t="shared" si="46"/>
        <v>6066369</v>
      </c>
      <c r="DN30" s="33">
        <f t="shared" si="19"/>
        <v>12000000</v>
      </c>
      <c r="DO30" s="33">
        <f t="shared" si="20"/>
        <v>12000000</v>
      </c>
      <c r="DP30" s="33">
        <f t="shared" si="21"/>
        <v>12000000</v>
      </c>
    </row>
    <row r="31" spans="1:121" ht="33" customHeight="1" x14ac:dyDescent="0.25">
      <c r="A31" s="34"/>
      <c r="B31" s="230"/>
      <c r="C31" s="23" t="s">
        <v>111</v>
      </c>
      <c r="D31" s="24" t="s">
        <v>112</v>
      </c>
      <c r="E31" s="25">
        <v>410</v>
      </c>
      <c r="F31" s="26" t="s">
        <v>113</v>
      </c>
      <c r="G31" s="27">
        <f t="shared" si="32"/>
        <v>5000000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>
        <v>5000000</v>
      </c>
      <c r="AC31" s="29">
        <f t="shared" si="1"/>
        <v>0.32128479999999998</v>
      </c>
      <c r="AD31" s="27">
        <f t="shared" si="33"/>
        <v>1606424</v>
      </c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>
        <f>+'[4]ABRIL 2016'!$G$646</f>
        <v>1606424</v>
      </c>
      <c r="AY31" s="29">
        <f t="shared" si="3"/>
        <v>0.67871520000000007</v>
      </c>
      <c r="AZ31" s="27">
        <f t="shared" si="34"/>
        <v>3393576</v>
      </c>
      <c r="BA31" s="27">
        <f t="shared" si="35"/>
        <v>0</v>
      </c>
      <c r="BB31" s="27">
        <f t="shared" si="36"/>
        <v>0</v>
      </c>
      <c r="BC31" s="27">
        <f t="shared" si="36"/>
        <v>0</v>
      </c>
      <c r="BD31" s="27">
        <f t="shared" si="36"/>
        <v>0</v>
      </c>
      <c r="BE31" s="27">
        <f t="shared" si="37"/>
        <v>0</v>
      </c>
      <c r="BF31" s="27">
        <f t="shared" si="37"/>
        <v>0</v>
      </c>
      <c r="BG31" s="27">
        <f t="shared" si="37"/>
        <v>0</v>
      </c>
      <c r="BH31" s="27">
        <f t="shared" si="37"/>
        <v>0</v>
      </c>
      <c r="BI31" s="27">
        <f t="shared" si="37"/>
        <v>0</v>
      </c>
      <c r="BJ31" s="27">
        <f t="shared" si="37"/>
        <v>0</v>
      </c>
      <c r="BK31" s="27">
        <f t="shared" si="37"/>
        <v>0</v>
      </c>
      <c r="BL31" s="27">
        <f t="shared" si="37"/>
        <v>0</v>
      </c>
      <c r="BM31" s="27">
        <f t="shared" si="37"/>
        <v>0</v>
      </c>
      <c r="BN31" s="27"/>
      <c r="BO31" s="27">
        <f t="shared" si="37"/>
        <v>0</v>
      </c>
      <c r="BP31" s="27">
        <f t="shared" si="37"/>
        <v>0</v>
      </c>
      <c r="BQ31" s="27"/>
      <c r="BR31" s="27"/>
      <c r="BS31" s="27"/>
      <c r="BT31" s="27">
        <f t="shared" si="38"/>
        <v>3393576</v>
      </c>
      <c r="BU31" s="29">
        <f t="shared" si="10"/>
        <v>0.32128479999999998</v>
      </c>
      <c r="BV31" s="27">
        <f t="shared" si="39"/>
        <v>1606424</v>
      </c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>
        <f>+'[4]ABRIL 2016'!$H$646</f>
        <v>1606424</v>
      </c>
      <c r="CQ31" s="29">
        <f t="shared" si="12"/>
        <v>0.67871520000000007</v>
      </c>
      <c r="CR31" s="27">
        <f t="shared" si="40"/>
        <v>3393576</v>
      </c>
      <c r="CS31" s="27">
        <f t="shared" si="41"/>
        <v>0</v>
      </c>
      <c r="CT31" s="27">
        <f t="shared" si="41"/>
        <v>0</v>
      </c>
      <c r="CU31" s="27">
        <f t="shared" si="41"/>
        <v>0</v>
      </c>
      <c r="CV31" s="27">
        <f t="shared" si="41"/>
        <v>0</v>
      </c>
      <c r="CW31" s="27">
        <f t="shared" si="41"/>
        <v>0</v>
      </c>
      <c r="CX31" s="27">
        <f t="shared" si="41"/>
        <v>0</v>
      </c>
      <c r="CY31" s="27">
        <f t="shared" si="41"/>
        <v>0</v>
      </c>
      <c r="CZ31" s="27">
        <f t="shared" si="42"/>
        <v>0</v>
      </c>
      <c r="DA31" s="27">
        <f t="shared" si="42"/>
        <v>0</v>
      </c>
      <c r="DB31" s="27">
        <f t="shared" si="42"/>
        <v>0</v>
      </c>
      <c r="DC31" s="27">
        <f t="shared" si="43"/>
        <v>0</v>
      </c>
      <c r="DD31" s="27">
        <f t="shared" si="43"/>
        <v>0</v>
      </c>
      <c r="DE31" s="27">
        <f t="shared" si="43"/>
        <v>0</v>
      </c>
      <c r="DF31" s="27">
        <f t="shared" si="43"/>
        <v>0</v>
      </c>
      <c r="DG31" s="27">
        <f t="shared" si="43"/>
        <v>0</v>
      </c>
      <c r="DH31" s="27">
        <f t="shared" si="43"/>
        <v>0</v>
      </c>
      <c r="DI31" s="27"/>
      <c r="DJ31" s="27">
        <f t="shared" si="46"/>
        <v>0</v>
      </c>
      <c r="DK31" s="27">
        <f t="shared" si="46"/>
        <v>0</v>
      </c>
      <c r="DL31" s="27">
        <f t="shared" si="46"/>
        <v>3393576</v>
      </c>
      <c r="DN31" s="33">
        <f t="shared" si="19"/>
        <v>5000000</v>
      </c>
      <c r="DO31" s="33">
        <f t="shared" si="20"/>
        <v>5000000</v>
      </c>
      <c r="DP31" s="33">
        <f t="shared" si="21"/>
        <v>5000000</v>
      </c>
    </row>
    <row r="32" spans="1:121" ht="38.25" customHeight="1" x14ac:dyDescent="0.25">
      <c r="A32" s="34"/>
      <c r="B32" s="231"/>
      <c r="C32" s="23" t="s">
        <v>114</v>
      </c>
      <c r="D32" s="24" t="s">
        <v>115</v>
      </c>
      <c r="E32" s="25">
        <v>410</v>
      </c>
      <c r="F32" s="26" t="s">
        <v>116</v>
      </c>
      <c r="G32" s="27">
        <f t="shared" si="32"/>
        <v>121169156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>
        <v>110000000</v>
      </c>
      <c r="W32" s="27"/>
      <c r="X32" s="27">
        <v>11169156</v>
      </c>
      <c r="Y32" s="27"/>
      <c r="Z32" s="27"/>
      <c r="AA32" s="27"/>
      <c r="AC32" s="29">
        <f t="shared" si="1"/>
        <v>0.90782178923487755</v>
      </c>
      <c r="AD32" s="27">
        <f t="shared" si="33"/>
        <v>110000000</v>
      </c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>
        <f>+'[5]ENERO 2016'!$Y$308</f>
        <v>110000000</v>
      </c>
      <c r="AT32" s="27"/>
      <c r="AU32" s="27"/>
      <c r="AV32" s="27"/>
      <c r="AW32" s="27"/>
      <c r="AX32" s="27"/>
      <c r="AY32" s="29">
        <f t="shared" si="3"/>
        <v>9.2178210765122448E-2</v>
      </c>
      <c r="AZ32" s="27">
        <f t="shared" si="34"/>
        <v>11169156</v>
      </c>
      <c r="BA32" s="27">
        <f t="shared" si="35"/>
        <v>0</v>
      </c>
      <c r="BB32" s="27">
        <f t="shared" si="36"/>
        <v>0</v>
      </c>
      <c r="BC32" s="27">
        <f t="shared" si="36"/>
        <v>0</v>
      </c>
      <c r="BD32" s="27">
        <f t="shared" si="36"/>
        <v>0</v>
      </c>
      <c r="BE32" s="27">
        <f t="shared" si="37"/>
        <v>0</v>
      </c>
      <c r="BF32" s="27">
        <f t="shared" si="37"/>
        <v>0</v>
      </c>
      <c r="BG32" s="27">
        <f t="shared" si="37"/>
        <v>0</v>
      </c>
      <c r="BH32" s="27">
        <f t="shared" si="37"/>
        <v>0</v>
      </c>
      <c r="BI32" s="27">
        <f t="shared" si="37"/>
        <v>0</v>
      </c>
      <c r="BJ32" s="27">
        <f t="shared" si="37"/>
        <v>0</v>
      </c>
      <c r="BK32" s="27">
        <f t="shared" si="37"/>
        <v>0</v>
      </c>
      <c r="BL32" s="27">
        <f t="shared" si="37"/>
        <v>0</v>
      </c>
      <c r="BM32" s="27">
        <f t="shared" si="37"/>
        <v>0</v>
      </c>
      <c r="BN32" s="27"/>
      <c r="BO32" s="27">
        <f t="shared" si="37"/>
        <v>0</v>
      </c>
      <c r="BP32" s="27">
        <f t="shared" si="37"/>
        <v>0</v>
      </c>
      <c r="BQ32" s="27">
        <f>+X32-AU32</f>
        <v>11169156</v>
      </c>
      <c r="BR32" s="27"/>
      <c r="BS32" s="27"/>
      <c r="BT32" s="27">
        <f t="shared" si="38"/>
        <v>0</v>
      </c>
      <c r="BU32" s="29">
        <f t="shared" si="10"/>
        <v>0.76112202184522937</v>
      </c>
      <c r="BV32" s="27">
        <f t="shared" si="39"/>
        <v>92224513</v>
      </c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>
        <f>+'[1]JUNIO 2016'!$H$874</f>
        <v>92224513</v>
      </c>
      <c r="CL32" s="27"/>
      <c r="CM32" s="27"/>
      <c r="CN32" s="27"/>
      <c r="CO32" s="27"/>
      <c r="CP32" s="27"/>
      <c r="CQ32" s="29">
        <f t="shared" si="12"/>
        <v>0.23887797815477063</v>
      </c>
      <c r="CR32" s="27">
        <f t="shared" si="40"/>
        <v>28944643</v>
      </c>
      <c r="CS32" s="27">
        <f t="shared" si="41"/>
        <v>0</v>
      </c>
      <c r="CT32" s="27">
        <f t="shared" si="41"/>
        <v>0</v>
      </c>
      <c r="CU32" s="27">
        <f t="shared" si="41"/>
        <v>0</v>
      </c>
      <c r="CV32" s="27">
        <f t="shared" si="41"/>
        <v>0</v>
      </c>
      <c r="CW32" s="27">
        <f t="shared" si="41"/>
        <v>0</v>
      </c>
      <c r="CX32" s="27">
        <f t="shared" si="41"/>
        <v>0</v>
      </c>
      <c r="CY32" s="27">
        <f t="shared" si="41"/>
        <v>0</v>
      </c>
      <c r="CZ32" s="27">
        <f t="shared" si="42"/>
        <v>0</v>
      </c>
      <c r="DA32" s="27">
        <f t="shared" si="42"/>
        <v>0</v>
      </c>
      <c r="DB32" s="27">
        <f t="shared" si="42"/>
        <v>0</v>
      </c>
      <c r="DC32" s="27">
        <f t="shared" si="43"/>
        <v>0</v>
      </c>
      <c r="DD32" s="27">
        <f t="shared" si="43"/>
        <v>0</v>
      </c>
      <c r="DE32" s="27">
        <f t="shared" si="43"/>
        <v>0</v>
      </c>
      <c r="DF32" s="27">
        <f t="shared" si="43"/>
        <v>0</v>
      </c>
      <c r="DG32" s="27">
        <f t="shared" si="43"/>
        <v>17775487</v>
      </c>
      <c r="DH32" s="27">
        <f t="shared" si="43"/>
        <v>0</v>
      </c>
      <c r="DI32" s="27">
        <f>X32-CM32</f>
        <v>11169156</v>
      </c>
      <c r="DJ32" s="27">
        <f t="shared" si="46"/>
        <v>0</v>
      </c>
      <c r="DK32" s="27">
        <f t="shared" si="46"/>
        <v>0</v>
      </c>
      <c r="DL32" s="27">
        <f t="shared" si="46"/>
        <v>0</v>
      </c>
      <c r="DN32" s="57">
        <f t="shared" si="19"/>
        <v>121169156</v>
      </c>
      <c r="DO32" s="33">
        <f t="shared" si="20"/>
        <v>121169156</v>
      </c>
      <c r="DP32" s="33">
        <f t="shared" si="21"/>
        <v>121169156</v>
      </c>
      <c r="DQ32" s="58"/>
    </row>
    <row r="33" spans="1:120" ht="21.75" customHeight="1" x14ac:dyDescent="0.25">
      <c r="A33" s="236" t="s">
        <v>85</v>
      </c>
      <c r="B33" s="229" t="s">
        <v>117</v>
      </c>
      <c r="C33" s="23" t="s">
        <v>118</v>
      </c>
      <c r="D33" s="24" t="s">
        <v>119</v>
      </c>
      <c r="E33" s="36">
        <v>410</v>
      </c>
      <c r="F33" s="26" t="s">
        <v>89</v>
      </c>
      <c r="G33" s="27">
        <f t="shared" si="32"/>
        <v>55000000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>
        <v>55000000</v>
      </c>
      <c r="W33" s="27"/>
      <c r="X33" s="27"/>
      <c r="Y33" s="27"/>
      <c r="Z33" s="27"/>
      <c r="AA33" s="27"/>
      <c r="AC33" s="29">
        <f t="shared" si="1"/>
        <v>0.31335221818181819</v>
      </c>
      <c r="AD33" s="27">
        <f t="shared" si="33"/>
        <v>17234372</v>
      </c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>
        <f>+'[1]JUNIO 2016'!$Y$911</f>
        <v>17234372</v>
      </c>
      <c r="AT33" s="27"/>
      <c r="AU33" s="27"/>
      <c r="AV33" s="27"/>
      <c r="AW33" s="27"/>
      <c r="AX33" s="27"/>
      <c r="AY33" s="29">
        <f t="shared" si="3"/>
        <v>0.68664778181818176</v>
      </c>
      <c r="AZ33" s="27">
        <f t="shared" si="34"/>
        <v>37765628</v>
      </c>
      <c r="BA33" s="27">
        <f t="shared" si="35"/>
        <v>0</v>
      </c>
      <c r="BB33" s="27">
        <f t="shared" si="36"/>
        <v>0</v>
      </c>
      <c r="BC33" s="27">
        <f t="shared" si="36"/>
        <v>0</v>
      </c>
      <c r="BD33" s="27">
        <f t="shared" si="36"/>
        <v>0</v>
      </c>
      <c r="BE33" s="27">
        <f t="shared" si="37"/>
        <v>0</v>
      </c>
      <c r="BF33" s="27">
        <f t="shared" si="37"/>
        <v>0</v>
      </c>
      <c r="BG33" s="27">
        <f t="shared" si="37"/>
        <v>0</v>
      </c>
      <c r="BH33" s="27">
        <f t="shared" si="37"/>
        <v>0</v>
      </c>
      <c r="BI33" s="27">
        <f t="shared" si="37"/>
        <v>0</v>
      </c>
      <c r="BJ33" s="27">
        <f t="shared" si="37"/>
        <v>0</v>
      </c>
      <c r="BK33" s="27">
        <f t="shared" si="37"/>
        <v>0</v>
      </c>
      <c r="BL33" s="27">
        <f t="shared" si="37"/>
        <v>0</v>
      </c>
      <c r="BM33" s="27">
        <f t="shared" si="37"/>
        <v>0</v>
      </c>
      <c r="BN33" s="27">
        <f>+U33-AR33</f>
        <v>0</v>
      </c>
      <c r="BO33" s="27">
        <f t="shared" si="37"/>
        <v>37765628</v>
      </c>
      <c r="BP33" s="27">
        <f t="shared" si="37"/>
        <v>0</v>
      </c>
      <c r="BQ33" s="27"/>
      <c r="BR33" s="27"/>
      <c r="BS33" s="27"/>
      <c r="BT33" s="27">
        <f t="shared" si="38"/>
        <v>0</v>
      </c>
      <c r="BU33" s="29">
        <f t="shared" si="10"/>
        <v>0.28135221818181816</v>
      </c>
      <c r="BV33" s="27">
        <f t="shared" si="39"/>
        <v>15474372</v>
      </c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>
        <f>+'[1]JUNIO 2016'!$H$909</f>
        <v>15474372</v>
      </c>
      <c r="CL33" s="27"/>
      <c r="CM33" s="27"/>
      <c r="CN33" s="27"/>
      <c r="CO33" s="27"/>
      <c r="CP33" s="27"/>
      <c r="CQ33" s="29">
        <f t="shared" si="12"/>
        <v>0.71864778181818179</v>
      </c>
      <c r="CR33" s="27">
        <f t="shared" si="40"/>
        <v>39525628</v>
      </c>
      <c r="CS33" s="27">
        <f t="shared" si="41"/>
        <v>0</v>
      </c>
      <c r="CT33" s="27">
        <f t="shared" si="41"/>
        <v>0</v>
      </c>
      <c r="CU33" s="27">
        <f t="shared" si="41"/>
        <v>0</v>
      </c>
      <c r="CV33" s="27">
        <f t="shared" si="41"/>
        <v>0</v>
      </c>
      <c r="CW33" s="27">
        <f t="shared" si="41"/>
        <v>0</v>
      </c>
      <c r="CX33" s="27">
        <f t="shared" si="41"/>
        <v>0</v>
      </c>
      <c r="CY33" s="27">
        <f t="shared" si="41"/>
        <v>0</v>
      </c>
      <c r="CZ33" s="27">
        <f t="shared" si="42"/>
        <v>0</v>
      </c>
      <c r="DA33" s="27">
        <f t="shared" si="42"/>
        <v>0</v>
      </c>
      <c r="DB33" s="27">
        <f t="shared" si="42"/>
        <v>0</v>
      </c>
      <c r="DC33" s="27">
        <f t="shared" si="43"/>
        <v>0</v>
      </c>
      <c r="DD33" s="27">
        <f t="shared" si="43"/>
        <v>0</v>
      </c>
      <c r="DE33" s="27">
        <f t="shared" si="43"/>
        <v>0</v>
      </c>
      <c r="DF33" s="27">
        <f t="shared" ref="DF33:DH35" si="47">+U33-CJ33</f>
        <v>0</v>
      </c>
      <c r="DG33" s="27">
        <f t="shared" si="47"/>
        <v>39525628</v>
      </c>
      <c r="DH33" s="27">
        <f t="shared" si="47"/>
        <v>0</v>
      </c>
      <c r="DI33" s="27"/>
      <c r="DJ33" s="27">
        <f>+Y33-CN33</f>
        <v>0</v>
      </c>
      <c r="DK33" s="27">
        <f t="shared" si="46"/>
        <v>0</v>
      </c>
      <c r="DL33" s="27">
        <f>+AA33-CP33</f>
        <v>0</v>
      </c>
      <c r="DN33" s="33">
        <f t="shared" si="19"/>
        <v>55000000</v>
      </c>
      <c r="DO33" s="33">
        <f t="shared" si="20"/>
        <v>55000000</v>
      </c>
      <c r="DP33" s="33">
        <f t="shared" si="21"/>
        <v>55000000</v>
      </c>
    </row>
    <row r="34" spans="1:120" ht="24.75" customHeight="1" x14ac:dyDescent="0.25">
      <c r="A34" s="236"/>
      <c r="B34" s="230"/>
      <c r="C34" s="23" t="s">
        <v>120</v>
      </c>
      <c r="D34" s="24" t="s">
        <v>121</v>
      </c>
      <c r="E34" s="25">
        <v>410</v>
      </c>
      <c r="F34" s="26" t="s">
        <v>89</v>
      </c>
      <c r="G34" s="27">
        <f t="shared" si="32"/>
        <v>50000000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>
        <v>50000000</v>
      </c>
      <c r="W34" s="27"/>
      <c r="X34" s="27"/>
      <c r="Y34" s="27"/>
      <c r="Z34" s="27"/>
      <c r="AA34" s="27"/>
      <c r="AC34" s="29">
        <f t="shared" si="1"/>
        <v>9.1264159999999997E-2</v>
      </c>
      <c r="AD34" s="27">
        <f t="shared" si="33"/>
        <v>4563208</v>
      </c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>
        <f>+'[1]JUNIO 2016'!$Y$932</f>
        <v>4563208</v>
      </c>
      <c r="AT34" s="27"/>
      <c r="AU34" s="27"/>
      <c r="AV34" s="27"/>
      <c r="AW34" s="27"/>
      <c r="AX34" s="27"/>
      <c r="AY34" s="29">
        <f t="shared" si="3"/>
        <v>0.90873583999999996</v>
      </c>
      <c r="AZ34" s="27">
        <f t="shared" si="34"/>
        <v>45436792</v>
      </c>
      <c r="BA34" s="27">
        <f t="shared" si="35"/>
        <v>0</v>
      </c>
      <c r="BB34" s="27">
        <f t="shared" si="36"/>
        <v>0</v>
      </c>
      <c r="BC34" s="27">
        <f t="shared" si="36"/>
        <v>0</v>
      </c>
      <c r="BD34" s="27">
        <f t="shared" si="36"/>
        <v>0</v>
      </c>
      <c r="BE34" s="27">
        <f t="shared" si="37"/>
        <v>0</v>
      </c>
      <c r="BF34" s="27">
        <f t="shared" si="37"/>
        <v>0</v>
      </c>
      <c r="BG34" s="27">
        <f t="shared" si="37"/>
        <v>0</v>
      </c>
      <c r="BH34" s="27">
        <f t="shared" si="37"/>
        <v>0</v>
      </c>
      <c r="BI34" s="27">
        <f t="shared" si="37"/>
        <v>0</v>
      </c>
      <c r="BJ34" s="27">
        <f t="shared" si="37"/>
        <v>0</v>
      </c>
      <c r="BK34" s="27">
        <f t="shared" si="37"/>
        <v>0</v>
      </c>
      <c r="BL34" s="27">
        <f t="shared" si="37"/>
        <v>0</v>
      </c>
      <c r="BM34" s="27">
        <f t="shared" si="37"/>
        <v>0</v>
      </c>
      <c r="BN34" s="27">
        <f>+U34-AR34</f>
        <v>0</v>
      </c>
      <c r="BO34" s="27">
        <f t="shared" si="37"/>
        <v>45436792</v>
      </c>
      <c r="BP34" s="27">
        <f t="shared" si="37"/>
        <v>0</v>
      </c>
      <c r="BQ34" s="27"/>
      <c r="BR34" s="27"/>
      <c r="BS34" s="27"/>
      <c r="BT34" s="27">
        <f t="shared" si="38"/>
        <v>0</v>
      </c>
      <c r="BU34" s="29">
        <f t="shared" si="10"/>
        <v>8.1742880000000004E-2</v>
      </c>
      <c r="BV34" s="27">
        <f t="shared" si="39"/>
        <v>4087144</v>
      </c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>
        <f>+'[3]MAYO 2016'!$H$808</f>
        <v>4087144</v>
      </c>
      <c r="CL34" s="27"/>
      <c r="CM34" s="27"/>
      <c r="CN34" s="27"/>
      <c r="CO34" s="27"/>
      <c r="CP34" s="27"/>
      <c r="CQ34" s="29">
        <f t="shared" si="12"/>
        <v>0.91825712000000004</v>
      </c>
      <c r="CR34" s="27">
        <f t="shared" si="40"/>
        <v>45912856</v>
      </c>
      <c r="CS34" s="27">
        <f t="shared" si="41"/>
        <v>0</v>
      </c>
      <c r="CT34" s="27">
        <f t="shared" si="41"/>
        <v>0</v>
      </c>
      <c r="CU34" s="27">
        <f t="shared" si="41"/>
        <v>0</v>
      </c>
      <c r="CV34" s="27">
        <f t="shared" si="41"/>
        <v>0</v>
      </c>
      <c r="CW34" s="27">
        <f t="shared" si="41"/>
        <v>0</v>
      </c>
      <c r="CX34" s="27">
        <f t="shared" si="41"/>
        <v>0</v>
      </c>
      <c r="CY34" s="27">
        <f t="shared" si="41"/>
        <v>0</v>
      </c>
      <c r="CZ34" s="27">
        <f t="shared" si="42"/>
        <v>0</v>
      </c>
      <c r="DA34" s="27">
        <f t="shared" si="42"/>
        <v>0</v>
      </c>
      <c r="DB34" s="27">
        <f t="shared" si="42"/>
        <v>0</v>
      </c>
      <c r="DC34" s="27">
        <f t="shared" si="43"/>
        <v>0</v>
      </c>
      <c r="DD34" s="27">
        <f t="shared" si="43"/>
        <v>0</v>
      </c>
      <c r="DE34" s="27">
        <f t="shared" si="43"/>
        <v>0</v>
      </c>
      <c r="DF34" s="27">
        <f t="shared" si="47"/>
        <v>0</v>
      </c>
      <c r="DG34" s="27">
        <f t="shared" si="47"/>
        <v>45912856</v>
      </c>
      <c r="DH34" s="27">
        <f t="shared" si="47"/>
        <v>0</v>
      </c>
      <c r="DI34" s="27"/>
      <c r="DJ34" s="27">
        <f>+Y34-CN34</f>
        <v>0</v>
      </c>
      <c r="DK34" s="27">
        <f t="shared" si="46"/>
        <v>0</v>
      </c>
      <c r="DL34" s="27">
        <f>+AA34-CP34</f>
        <v>0</v>
      </c>
      <c r="DN34" s="33">
        <f t="shared" si="19"/>
        <v>50000000</v>
      </c>
      <c r="DO34" s="33">
        <f t="shared" si="20"/>
        <v>50000000</v>
      </c>
      <c r="DP34" s="33">
        <f t="shared" si="21"/>
        <v>50000000</v>
      </c>
    </row>
    <row r="35" spans="1:120" ht="19.5" customHeight="1" x14ac:dyDescent="0.25">
      <c r="A35" s="236"/>
      <c r="B35" s="230"/>
      <c r="C35" s="23" t="s">
        <v>122</v>
      </c>
      <c r="D35" s="24" t="s">
        <v>123</v>
      </c>
      <c r="E35" s="25">
        <v>410</v>
      </c>
      <c r="F35" s="26" t="s">
        <v>89</v>
      </c>
      <c r="G35" s="27">
        <f t="shared" si="32"/>
        <v>40000000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>
        <v>40000000</v>
      </c>
      <c r="W35" s="27"/>
      <c r="X35" s="27"/>
      <c r="Y35" s="27"/>
      <c r="Z35" s="27"/>
      <c r="AA35" s="27"/>
      <c r="AC35" s="29">
        <f t="shared" si="1"/>
        <v>1</v>
      </c>
      <c r="AD35" s="27">
        <f t="shared" si="33"/>
        <v>40000000</v>
      </c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>
        <v>40000000</v>
      </c>
      <c r="AT35" s="27"/>
      <c r="AU35" s="27"/>
      <c r="AV35" s="27"/>
      <c r="AW35" s="27"/>
      <c r="AX35" s="27"/>
      <c r="AY35" s="29">
        <f t="shared" si="3"/>
        <v>0</v>
      </c>
      <c r="AZ35" s="27">
        <f t="shared" si="34"/>
        <v>0</v>
      </c>
      <c r="BA35" s="27">
        <f t="shared" si="35"/>
        <v>0</v>
      </c>
      <c r="BB35" s="27">
        <f t="shared" si="36"/>
        <v>0</v>
      </c>
      <c r="BC35" s="27">
        <f t="shared" si="36"/>
        <v>0</v>
      </c>
      <c r="BD35" s="27">
        <f t="shared" si="36"/>
        <v>0</v>
      </c>
      <c r="BE35" s="27">
        <f t="shared" si="37"/>
        <v>0</v>
      </c>
      <c r="BF35" s="27">
        <f t="shared" si="37"/>
        <v>0</v>
      </c>
      <c r="BG35" s="27">
        <f t="shared" si="37"/>
        <v>0</v>
      </c>
      <c r="BH35" s="27">
        <f t="shared" si="37"/>
        <v>0</v>
      </c>
      <c r="BI35" s="27">
        <f t="shared" si="37"/>
        <v>0</v>
      </c>
      <c r="BJ35" s="27">
        <f t="shared" si="37"/>
        <v>0</v>
      </c>
      <c r="BK35" s="27">
        <f t="shared" si="37"/>
        <v>0</v>
      </c>
      <c r="BL35" s="27">
        <f t="shared" si="37"/>
        <v>0</v>
      </c>
      <c r="BM35" s="27">
        <f t="shared" si="37"/>
        <v>0</v>
      </c>
      <c r="BN35" s="27">
        <f>+U35-AR35</f>
        <v>0</v>
      </c>
      <c r="BO35" s="27">
        <f t="shared" si="37"/>
        <v>0</v>
      </c>
      <c r="BP35" s="27">
        <f t="shared" si="37"/>
        <v>0</v>
      </c>
      <c r="BQ35" s="27"/>
      <c r="BR35" s="27"/>
      <c r="BS35" s="27"/>
      <c r="BT35" s="27">
        <f t="shared" si="38"/>
        <v>0</v>
      </c>
      <c r="BU35" s="29">
        <f t="shared" si="10"/>
        <v>0.72390849999999995</v>
      </c>
      <c r="BV35" s="27">
        <f t="shared" si="39"/>
        <v>28956340</v>
      </c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>
        <f>+'[2]MARZO 2016 ULTIMO'!$H$552</f>
        <v>28956340</v>
      </c>
      <c r="CL35" s="27"/>
      <c r="CM35" s="27"/>
      <c r="CN35" s="27"/>
      <c r="CO35" s="27"/>
      <c r="CP35" s="27"/>
      <c r="CQ35" s="29">
        <f t="shared" si="12"/>
        <v>0.27609150000000005</v>
      </c>
      <c r="CR35" s="27">
        <f t="shared" si="40"/>
        <v>11043660</v>
      </c>
      <c r="CS35" s="27">
        <f t="shared" si="41"/>
        <v>0</v>
      </c>
      <c r="CT35" s="27">
        <f t="shared" si="41"/>
        <v>0</v>
      </c>
      <c r="CU35" s="27">
        <f t="shared" si="41"/>
        <v>0</v>
      </c>
      <c r="CV35" s="27">
        <f t="shared" si="41"/>
        <v>0</v>
      </c>
      <c r="CW35" s="27">
        <f t="shared" si="41"/>
        <v>0</v>
      </c>
      <c r="CX35" s="27">
        <f t="shared" si="41"/>
        <v>0</v>
      </c>
      <c r="CY35" s="27">
        <f t="shared" si="41"/>
        <v>0</v>
      </c>
      <c r="CZ35" s="27">
        <f t="shared" si="42"/>
        <v>0</v>
      </c>
      <c r="DA35" s="27">
        <f t="shared" si="42"/>
        <v>0</v>
      </c>
      <c r="DB35" s="27">
        <f t="shared" si="42"/>
        <v>0</v>
      </c>
      <c r="DC35" s="27">
        <f t="shared" si="43"/>
        <v>0</v>
      </c>
      <c r="DD35" s="27">
        <f t="shared" si="43"/>
        <v>0</v>
      </c>
      <c r="DE35" s="27">
        <f t="shared" si="43"/>
        <v>0</v>
      </c>
      <c r="DF35" s="27">
        <f t="shared" si="47"/>
        <v>0</v>
      </c>
      <c r="DG35" s="27">
        <f t="shared" si="47"/>
        <v>11043660</v>
      </c>
      <c r="DH35" s="27">
        <f t="shared" si="47"/>
        <v>0</v>
      </c>
      <c r="DI35" s="27"/>
      <c r="DJ35" s="27">
        <f>+Y35-CN35</f>
        <v>0</v>
      </c>
      <c r="DK35" s="27">
        <f t="shared" si="46"/>
        <v>0</v>
      </c>
      <c r="DL35" s="27">
        <f>+AA35-CP35</f>
        <v>0</v>
      </c>
      <c r="DN35" s="33">
        <f t="shared" si="19"/>
        <v>40000000</v>
      </c>
      <c r="DO35" s="33">
        <f t="shared" si="20"/>
        <v>40000000</v>
      </c>
      <c r="DP35" s="33">
        <f t="shared" si="21"/>
        <v>40000000</v>
      </c>
    </row>
    <row r="36" spans="1:120" ht="21" customHeight="1" x14ac:dyDescent="0.25">
      <c r="A36" s="236"/>
      <c r="B36" s="231"/>
      <c r="C36" s="23" t="s">
        <v>124</v>
      </c>
      <c r="D36" s="24" t="s">
        <v>125</v>
      </c>
      <c r="E36" s="25">
        <v>410</v>
      </c>
      <c r="F36" s="26" t="s">
        <v>89</v>
      </c>
      <c r="G36" s="27">
        <f t="shared" si="32"/>
        <v>105000000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>
        <v>105000000</v>
      </c>
      <c r="W36" s="27"/>
      <c r="X36" s="27"/>
      <c r="Y36" s="27"/>
      <c r="Z36" s="27"/>
      <c r="AA36" s="27"/>
      <c r="AC36" s="29">
        <f t="shared" si="1"/>
        <v>1</v>
      </c>
      <c r="AD36" s="27">
        <f t="shared" si="33"/>
        <v>105000000</v>
      </c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>
        <f>+'[1]JUNIO 2016'!$Y$953</f>
        <v>105000000</v>
      </c>
      <c r="AT36" s="27"/>
      <c r="AU36" s="27"/>
      <c r="AV36" s="27"/>
      <c r="AW36" s="27"/>
      <c r="AX36" s="27"/>
      <c r="AY36" s="29">
        <f t="shared" si="3"/>
        <v>0</v>
      </c>
      <c r="AZ36" s="27">
        <f t="shared" si="34"/>
        <v>0</v>
      </c>
      <c r="BA36" s="27">
        <f t="shared" si="35"/>
        <v>0</v>
      </c>
      <c r="BB36" s="27">
        <f t="shared" si="36"/>
        <v>0</v>
      </c>
      <c r="BC36" s="27">
        <f t="shared" si="36"/>
        <v>0</v>
      </c>
      <c r="BD36" s="27">
        <f t="shared" si="36"/>
        <v>0</v>
      </c>
      <c r="BE36" s="27">
        <f t="shared" si="36"/>
        <v>0</v>
      </c>
      <c r="BF36" s="27">
        <f t="shared" si="36"/>
        <v>0</v>
      </c>
      <c r="BG36" s="27">
        <f t="shared" si="36"/>
        <v>0</v>
      </c>
      <c r="BH36" s="27">
        <f t="shared" si="36"/>
        <v>0</v>
      </c>
      <c r="BI36" s="27">
        <f t="shared" si="36"/>
        <v>0</v>
      </c>
      <c r="BJ36" s="27">
        <f t="shared" si="36"/>
        <v>0</v>
      </c>
      <c r="BK36" s="27">
        <f t="shared" si="36"/>
        <v>0</v>
      </c>
      <c r="BL36" s="27">
        <f t="shared" si="36"/>
        <v>0</v>
      </c>
      <c r="BM36" s="27">
        <f t="shared" si="36"/>
        <v>0</v>
      </c>
      <c r="BN36" s="27">
        <f t="shared" si="36"/>
        <v>0</v>
      </c>
      <c r="BO36" s="27">
        <f t="shared" si="36"/>
        <v>0</v>
      </c>
      <c r="BP36" s="27">
        <f t="shared" si="36"/>
        <v>0</v>
      </c>
      <c r="BQ36" s="27"/>
      <c r="BR36" s="27">
        <f>Y36-AV36</f>
        <v>0</v>
      </c>
      <c r="BS36" s="27">
        <f>Z36-AW36</f>
        <v>0</v>
      </c>
      <c r="BT36" s="27">
        <f>AA36-AX36</f>
        <v>0</v>
      </c>
      <c r="BU36" s="29">
        <f t="shared" si="10"/>
        <v>1</v>
      </c>
      <c r="BV36" s="27">
        <f t="shared" si="39"/>
        <v>105000000</v>
      </c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>
        <f>+'[1]JUNIO 2016'!$H$951</f>
        <v>105000000</v>
      </c>
      <c r="CL36" s="27"/>
      <c r="CM36" s="27"/>
      <c r="CN36" s="27"/>
      <c r="CO36" s="27"/>
      <c r="CP36" s="27"/>
      <c r="CQ36" s="29">
        <f t="shared" si="12"/>
        <v>0</v>
      </c>
      <c r="CR36" s="27">
        <f t="shared" si="40"/>
        <v>0</v>
      </c>
      <c r="CS36" s="27">
        <f t="shared" si="41"/>
        <v>0</v>
      </c>
      <c r="CT36" s="27">
        <f t="shared" si="41"/>
        <v>0</v>
      </c>
      <c r="CU36" s="27">
        <f t="shared" si="41"/>
        <v>0</v>
      </c>
      <c r="CV36" s="27">
        <f t="shared" si="41"/>
        <v>0</v>
      </c>
      <c r="CW36" s="27">
        <f t="shared" si="41"/>
        <v>0</v>
      </c>
      <c r="CX36" s="27">
        <f t="shared" si="41"/>
        <v>0</v>
      </c>
      <c r="CY36" s="27">
        <f t="shared" si="41"/>
        <v>0</v>
      </c>
      <c r="CZ36" s="27">
        <f>O36-CD36</f>
        <v>0</v>
      </c>
      <c r="DA36" s="27">
        <f>P36-CE36</f>
        <v>0</v>
      </c>
      <c r="DB36" s="27">
        <f>Q36-CF36</f>
        <v>0</v>
      </c>
      <c r="DC36" s="27">
        <f t="shared" si="43"/>
        <v>0</v>
      </c>
      <c r="DD36" s="27">
        <f t="shared" si="43"/>
        <v>0</v>
      </c>
      <c r="DE36" s="27">
        <f t="shared" si="43"/>
        <v>0</v>
      </c>
      <c r="DF36" s="27">
        <f>U36-CJ36</f>
        <v>0</v>
      </c>
      <c r="DG36" s="27">
        <f>V36-CK36</f>
        <v>0</v>
      </c>
      <c r="DH36" s="27">
        <f>W36-CL36</f>
        <v>0</v>
      </c>
      <c r="DI36" s="27"/>
      <c r="DJ36" s="27">
        <f>Y36-CN36</f>
        <v>0</v>
      </c>
      <c r="DK36" s="27">
        <f t="shared" si="46"/>
        <v>0</v>
      </c>
      <c r="DL36" s="27">
        <f>AA36-CP36</f>
        <v>0</v>
      </c>
      <c r="DN36" s="33">
        <f t="shared" si="19"/>
        <v>105000000</v>
      </c>
      <c r="DO36" s="33">
        <f t="shared" si="20"/>
        <v>105000000</v>
      </c>
      <c r="DP36" s="33">
        <f t="shared" si="21"/>
        <v>105000000</v>
      </c>
    </row>
    <row r="37" spans="1:120" ht="20.25" customHeight="1" x14ac:dyDescent="0.25">
      <c r="A37" s="236"/>
      <c r="B37" s="229" t="s">
        <v>126</v>
      </c>
      <c r="C37" s="23" t="s">
        <v>127</v>
      </c>
      <c r="D37" s="24" t="s">
        <v>128</v>
      </c>
      <c r="E37" s="25">
        <v>410</v>
      </c>
      <c r="F37" s="26" t="s">
        <v>89</v>
      </c>
      <c r="G37" s="27">
        <f t="shared" si="32"/>
        <v>280000000</v>
      </c>
      <c r="H37" s="59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>
        <v>280000000</v>
      </c>
      <c r="U37" s="27"/>
      <c r="V37" s="27"/>
      <c r="W37" s="27"/>
      <c r="X37" s="27"/>
      <c r="Y37" s="27"/>
      <c r="Z37" s="27"/>
      <c r="AA37" s="27"/>
      <c r="AC37" s="29">
        <f t="shared" si="1"/>
        <v>0.38957300714285714</v>
      </c>
      <c r="AD37" s="27">
        <f t="shared" si="33"/>
        <v>109080442</v>
      </c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>
        <f>+'[1]JUNIO 2016'!$W$979</f>
        <v>109080442</v>
      </c>
      <c r="AR37" s="27"/>
      <c r="AS37" s="27"/>
      <c r="AT37" s="27"/>
      <c r="AU37" s="27"/>
      <c r="AV37" s="27"/>
      <c r="AW37" s="27"/>
      <c r="AX37" s="27"/>
      <c r="AY37" s="29">
        <f t="shared" si="3"/>
        <v>0.61042699285714286</v>
      </c>
      <c r="AZ37" s="27">
        <f t="shared" si="34"/>
        <v>170919558</v>
      </c>
      <c r="BA37" s="27">
        <f t="shared" si="35"/>
        <v>0</v>
      </c>
      <c r="BB37" s="27">
        <f t="shared" si="36"/>
        <v>0</v>
      </c>
      <c r="BC37" s="27">
        <f t="shared" si="36"/>
        <v>0</v>
      </c>
      <c r="BD37" s="27">
        <f t="shared" si="36"/>
        <v>0</v>
      </c>
      <c r="BE37" s="27">
        <f t="shared" ref="BE37:BP52" si="48">+L37-AI37</f>
        <v>0</v>
      </c>
      <c r="BF37" s="27">
        <f t="shared" si="48"/>
        <v>0</v>
      </c>
      <c r="BG37" s="27">
        <f t="shared" si="48"/>
        <v>0</v>
      </c>
      <c r="BH37" s="27">
        <f t="shared" si="48"/>
        <v>0</v>
      </c>
      <c r="BI37" s="27">
        <f t="shared" si="48"/>
        <v>0</v>
      </c>
      <c r="BJ37" s="27">
        <f t="shared" si="48"/>
        <v>0</v>
      </c>
      <c r="BK37" s="27">
        <f t="shared" si="48"/>
        <v>0</v>
      </c>
      <c r="BL37" s="27">
        <f t="shared" si="48"/>
        <v>0</v>
      </c>
      <c r="BM37" s="27">
        <f t="shared" si="48"/>
        <v>170919558</v>
      </c>
      <c r="BN37" s="27">
        <f t="shared" si="48"/>
        <v>0</v>
      </c>
      <c r="BO37" s="27">
        <f t="shared" si="48"/>
        <v>0</v>
      </c>
      <c r="BP37" s="27">
        <f t="shared" si="48"/>
        <v>0</v>
      </c>
      <c r="BQ37" s="27"/>
      <c r="BR37" s="27"/>
      <c r="BS37" s="27">
        <f t="shared" ref="BS37:BS57" si="49">Z37-AW37</f>
        <v>0</v>
      </c>
      <c r="BT37" s="27">
        <f t="shared" ref="BT37:BT57" si="50">+AA37-AX37</f>
        <v>0</v>
      </c>
      <c r="BU37" s="29">
        <f t="shared" si="10"/>
        <v>0.38957300714285714</v>
      </c>
      <c r="BV37" s="27">
        <f t="shared" si="39"/>
        <v>109080442</v>
      </c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>
        <f>+'[1]JUNIO 2016'!$H$977</f>
        <v>109080442</v>
      </c>
      <c r="CJ37" s="27"/>
      <c r="CK37" s="27"/>
      <c r="CL37" s="27"/>
      <c r="CM37" s="27"/>
      <c r="CN37" s="27"/>
      <c r="CO37" s="27"/>
      <c r="CP37" s="27"/>
      <c r="CQ37" s="29">
        <f t="shared" si="12"/>
        <v>0.61042699285714286</v>
      </c>
      <c r="CR37" s="27">
        <f t="shared" si="40"/>
        <v>170919558</v>
      </c>
      <c r="CS37" s="27">
        <f t="shared" si="41"/>
        <v>0</v>
      </c>
      <c r="CT37" s="27">
        <f t="shared" si="41"/>
        <v>0</v>
      </c>
      <c r="CU37" s="27">
        <f t="shared" si="41"/>
        <v>0</v>
      </c>
      <c r="CV37" s="27">
        <f t="shared" si="41"/>
        <v>0</v>
      </c>
      <c r="CW37" s="27">
        <f t="shared" si="41"/>
        <v>0</v>
      </c>
      <c r="CX37" s="27">
        <f t="shared" si="41"/>
        <v>0</v>
      </c>
      <c r="CY37" s="27">
        <f t="shared" si="41"/>
        <v>0</v>
      </c>
      <c r="CZ37" s="27">
        <f t="shared" ref="CZ37:DE48" si="51">+O37-CD37</f>
        <v>0</v>
      </c>
      <c r="DA37" s="27">
        <f t="shared" si="51"/>
        <v>0</v>
      </c>
      <c r="DB37" s="27">
        <f t="shared" si="51"/>
        <v>0</v>
      </c>
      <c r="DC37" s="27">
        <f t="shared" si="43"/>
        <v>0</v>
      </c>
      <c r="DD37" s="27">
        <f t="shared" si="43"/>
        <v>0</v>
      </c>
      <c r="DE37" s="27">
        <f t="shared" si="43"/>
        <v>170919558</v>
      </c>
      <c r="DF37" s="27">
        <f t="shared" ref="DF37:DH48" si="52">+U37-CJ37</f>
        <v>0</v>
      </c>
      <c r="DG37" s="27">
        <f t="shared" si="52"/>
        <v>0</v>
      </c>
      <c r="DH37" s="27">
        <f t="shared" si="52"/>
        <v>0</v>
      </c>
      <c r="DI37" s="27"/>
      <c r="DJ37" s="27">
        <f t="shared" ref="DJ37:DJ48" si="53">+Y37-CN37</f>
        <v>0</v>
      </c>
      <c r="DK37" s="27">
        <f t="shared" si="46"/>
        <v>0</v>
      </c>
      <c r="DL37" s="27">
        <f t="shared" ref="DL37:DL48" si="54">+AA37-CP37</f>
        <v>0</v>
      </c>
      <c r="DN37" s="33">
        <f t="shared" si="19"/>
        <v>280000000</v>
      </c>
      <c r="DO37" s="33">
        <f t="shared" si="20"/>
        <v>280000000</v>
      </c>
      <c r="DP37" s="33">
        <f t="shared" si="21"/>
        <v>280000000</v>
      </c>
    </row>
    <row r="38" spans="1:120" ht="38.25" customHeight="1" x14ac:dyDescent="0.25">
      <c r="A38" s="236"/>
      <c r="B38" s="230"/>
      <c r="C38" s="23" t="s">
        <v>129</v>
      </c>
      <c r="D38" s="60" t="s">
        <v>130</v>
      </c>
      <c r="E38" s="25">
        <v>410</v>
      </c>
      <c r="F38" s="26" t="s">
        <v>131</v>
      </c>
      <c r="G38" s="27">
        <f t="shared" si="32"/>
        <v>193627198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>
        <v>7696735</v>
      </c>
      <c r="U38" s="27"/>
      <c r="V38" s="27">
        <v>147930463</v>
      </c>
      <c r="W38" s="27"/>
      <c r="X38" s="27"/>
      <c r="Y38" s="27"/>
      <c r="Z38" s="61"/>
      <c r="AA38" s="61">
        <f>35000000+3000000</f>
        <v>38000000</v>
      </c>
      <c r="AC38" s="29">
        <f t="shared" si="1"/>
        <v>0.31805951145355105</v>
      </c>
      <c r="AD38" s="27">
        <f t="shared" si="33"/>
        <v>61584972</v>
      </c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>
        <f>+'[1]JUNIO 2016'!$W$1028</f>
        <v>7654735</v>
      </c>
      <c r="AR38" s="27"/>
      <c r="AS38" s="27">
        <f>+'[1]JUNIO 2016'!$Y$1028</f>
        <v>41895406</v>
      </c>
      <c r="AT38" s="27"/>
      <c r="AU38" s="27"/>
      <c r="AV38" s="27"/>
      <c r="AW38" s="27"/>
      <c r="AX38" s="27">
        <f>+'[3]MAYO 2016'!$AG$900</f>
        <v>12034831</v>
      </c>
      <c r="AY38" s="29">
        <f t="shared" si="3"/>
        <v>0.68194048854644895</v>
      </c>
      <c r="AZ38" s="27">
        <f t="shared" si="34"/>
        <v>132042226</v>
      </c>
      <c r="BA38" s="27">
        <f t="shared" si="35"/>
        <v>0</v>
      </c>
      <c r="BB38" s="27">
        <f t="shared" si="36"/>
        <v>0</v>
      </c>
      <c r="BC38" s="27">
        <f t="shared" si="36"/>
        <v>0</v>
      </c>
      <c r="BD38" s="27">
        <f t="shared" si="36"/>
        <v>0</v>
      </c>
      <c r="BE38" s="27">
        <f t="shared" si="48"/>
        <v>0</v>
      </c>
      <c r="BF38" s="27">
        <f t="shared" si="48"/>
        <v>0</v>
      </c>
      <c r="BG38" s="27">
        <f t="shared" si="48"/>
        <v>0</v>
      </c>
      <c r="BH38" s="27">
        <f t="shared" si="48"/>
        <v>0</v>
      </c>
      <c r="BI38" s="27">
        <f t="shared" si="48"/>
        <v>0</v>
      </c>
      <c r="BJ38" s="27">
        <f t="shared" si="48"/>
        <v>0</v>
      </c>
      <c r="BK38" s="27">
        <f t="shared" si="48"/>
        <v>0</v>
      </c>
      <c r="BL38" s="27">
        <f t="shared" si="48"/>
        <v>0</v>
      </c>
      <c r="BM38" s="27">
        <f t="shared" si="48"/>
        <v>42000</v>
      </c>
      <c r="BN38" s="27">
        <f t="shared" si="48"/>
        <v>0</v>
      </c>
      <c r="BO38" s="27">
        <f t="shared" si="48"/>
        <v>106035057</v>
      </c>
      <c r="BP38" s="27">
        <f t="shared" si="48"/>
        <v>0</v>
      </c>
      <c r="BQ38" s="27"/>
      <c r="BR38" s="27"/>
      <c r="BS38" s="27">
        <f t="shared" si="49"/>
        <v>0</v>
      </c>
      <c r="BT38" s="27">
        <f t="shared" si="50"/>
        <v>25965169</v>
      </c>
      <c r="BU38" s="29">
        <f t="shared" si="10"/>
        <v>0.29419329303107511</v>
      </c>
      <c r="BV38" s="27">
        <f t="shared" si="39"/>
        <v>56963823</v>
      </c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>
        <f>+'[3]MAYO 2016'!$H$901+'[3]MAYO 2016'!$H$904+'[3]MAYO 2016'!$H$906+'[3]MAYO 2016'!$W$908</f>
        <v>7654735</v>
      </c>
      <c r="CJ38" s="27"/>
      <c r="CK38" s="27">
        <f>+'[1]JUNIO 2016'!$H$1026-CI38-CP38</f>
        <v>37274257</v>
      </c>
      <c r="CL38" s="27"/>
      <c r="CM38" s="27"/>
      <c r="CN38" s="27"/>
      <c r="CO38" s="27"/>
      <c r="CP38" s="27">
        <f>+'[1]JUNIO 2016'!$H$1031+'[1]JUNIO 2016'!$H$1044+'[1]JUNIO 2016'!$H$1046+'[1]JUNIO 2016'!$H$1047+'[1]JUNIO 2016'!$H$1049+'[1]JUNIO 2016'!$H$1053</f>
        <v>12034831</v>
      </c>
      <c r="CQ38" s="29">
        <f t="shared" si="12"/>
        <v>0.70580670696892489</v>
      </c>
      <c r="CR38" s="27">
        <f t="shared" si="40"/>
        <v>136663375</v>
      </c>
      <c r="CS38" s="27">
        <f t="shared" si="41"/>
        <v>0</v>
      </c>
      <c r="CT38" s="27">
        <f t="shared" si="41"/>
        <v>0</v>
      </c>
      <c r="CU38" s="27">
        <f t="shared" si="41"/>
        <v>0</v>
      </c>
      <c r="CV38" s="27">
        <f t="shared" si="41"/>
        <v>0</v>
      </c>
      <c r="CW38" s="27">
        <f t="shared" si="41"/>
        <v>0</v>
      </c>
      <c r="CX38" s="27">
        <f t="shared" si="41"/>
        <v>0</v>
      </c>
      <c r="CY38" s="27">
        <f t="shared" si="41"/>
        <v>0</v>
      </c>
      <c r="CZ38" s="27">
        <f t="shared" si="51"/>
        <v>0</v>
      </c>
      <c r="DA38" s="27">
        <f t="shared" si="51"/>
        <v>0</v>
      </c>
      <c r="DB38" s="27">
        <f t="shared" si="51"/>
        <v>0</v>
      </c>
      <c r="DC38" s="27">
        <f t="shared" si="43"/>
        <v>0</v>
      </c>
      <c r="DD38" s="27">
        <f t="shared" si="43"/>
        <v>0</v>
      </c>
      <c r="DE38" s="27">
        <f t="shared" si="43"/>
        <v>42000</v>
      </c>
      <c r="DF38" s="27">
        <f t="shared" si="52"/>
        <v>0</v>
      </c>
      <c r="DG38" s="27">
        <f t="shared" si="52"/>
        <v>110656206</v>
      </c>
      <c r="DH38" s="27">
        <f t="shared" si="52"/>
        <v>0</v>
      </c>
      <c r="DI38" s="27"/>
      <c r="DJ38" s="27">
        <f t="shared" si="53"/>
        <v>0</v>
      </c>
      <c r="DK38" s="27">
        <f t="shared" si="46"/>
        <v>0</v>
      </c>
      <c r="DL38" s="27">
        <f t="shared" si="54"/>
        <v>25965169</v>
      </c>
      <c r="DN38" s="33">
        <f t="shared" si="19"/>
        <v>193627198</v>
      </c>
      <c r="DO38" s="33">
        <f t="shared" si="20"/>
        <v>193627198</v>
      </c>
      <c r="DP38" s="33">
        <f t="shared" si="21"/>
        <v>193627198</v>
      </c>
    </row>
    <row r="39" spans="1:120" ht="30" customHeight="1" x14ac:dyDescent="0.25">
      <c r="A39" s="236"/>
      <c r="B39" s="230"/>
      <c r="C39" s="23" t="s">
        <v>132</v>
      </c>
      <c r="D39" s="24" t="s">
        <v>133</v>
      </c>
      <c r="E39" s="25">
        <v>410</v>
      </c>
      <c r="F39" s="26" t="s">
        <v>89</v>
      </c>
      <c r="G39" s="27">
        <f t="shared" si="32"/>
        <v>200000000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>
        <v>100000000</v>
      </c>
      <c r="U39" s="27"/>
      <c r="V39" s="27"/>
      <c r="W39" s="27"/>
      <c r="X39" s="27"/>
      <c r="Y39" s="27"/>
      <c r="Z39" s="61">
        <f>62258164+37741836</f>
        <v>100000000</v>
      </c>
      <c r="AA39" s="61"/>
      <c r="AC39" s="29">
        <f t="shared" si="1"/>
        <v>0.54790000000000005</v>
      </c>
      <c r="AD39" s="27">
        <f t="shared" si="33"/>
        <v>109580000</v>
      </c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>
        <f>+'[5]ENERO 2016'!$W$352</f>
        <v>100000000</v>
      </c>
      <c r="AR39" s="27"/>
      <c r="AS39" s="27"/>
      <c r="AT39" s="27"/>
      <c r="AU39" s="27"/>
      <c r="AV39" s="27"/>
      <c r="AW39" s="27">
        <f>+'[1]JUNIO 2016'!$AF$1063</f>
        <v>9580000</v>
      </c>
      <c r="AX39" s="27"/>
      <c r="AY39" s="29">
        <f t="shared" si="3"/>
        <v>0.45209999999999995</v>
      </c>
      <c r="AZ39" s="27">
        <f t="shared" si="34"/>
        <v>90420000</v>
      </c>
      <c r="BA39" s="27">
        <f t="shared" si="35"/>
        <v>0</v>
      </c>
      <c r="BB39" s="27">
        <f t="shared" si="36"/>
        <v>0</v>
      </c>
      <c r="BC39" s="27">
        <f t="shared" si="36"/>
        <v>0</v>
      </c>
      <c r="BD39" s="27">
        <f t="shared" si="36"/>
        <v>0</v>
      </c>
      <c r="BE39" s="27">
        <f t="shared" si="48"/>
        <v>0</v>
      </c>
      <c r="BF39" s="27">
        <f t="shared" si="48"/>
        <v>0</v>
      </c>
      <c r="BG39" s="27">
        <f t="shared" si="48"/>
        <v>0</v>
      </c>
      <c r="BH39" s="27">
        <f t="shared" si="48"/>
        <v>0</v>
      </c>
      <c r="BI39" s="27">
        <f t="shared" si="48"/>
        <v>0</v>
      </c>
      <c r="BJ39" s="27">
        <f t="shared" si="48"/>
        <v>0</v>
      </c>
      <c r="BK39" s="27">
        <f t="shared" si="48"/>
        <v>0</v>
      </c>
      <c r="BL39" s="27">
        <f t="shared" si="48"/>
        <v>0</v>
      </c>
      <c r="BM39" s="27">
        <f t="shared" si="48"/>
        <v>0</v>
      </c>
      <c r="BN39" s="27">
        <f t="shared" si="48"/>
        <v>0</v>
      </c>
      <c r="BO39" s="27">
        <f t="shared" si="48"/>
        <v>0</v>
      </c>
      <c r="BP39" s="27">
        <f t="shared" si="48"/>
        <v>0</v>
      </c>
      <c r="BQ39" s="27"/>
      <c r="BR39" s="27"/>
      <c r="BS39" s="27">
        <f t="shared" si="49"/>
        <v>90420000</v>
      </c>
      <c r="BT39" s="27">
        <f t="shared" si="50"/>
        <v>0</v>
      </c>
      <c r="BU39" s="29">
        <f t="shared" si="10"/>
        <v>0.54790000000000005</v>
      </c>
      <c r="BV39" s="27">
        <f t="shared" si="39"/>
        <v>109580000</v>
      </c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>
        <f>+'[2]MARZO 2016 ULTIMO'!$H$622</f>
        <v>100000000</v>
      </c>
      <c r="CJ39" s="27"/>
      <c r="CK39" s="27"/>
      <c r="CL39" s="27"/>
      <c r="CM39" s="27"/>
      <c r="CN39" s="27"/>
      <c r="CO39" s="27">
        <f>+'[1]JUNIO 2016'!$AF$1063</f>
        <v>9580000</v>
      </c>
      <c r="CP39" s="27"/>
      <c r="CQ39" s="29">
        <f t="shared" si="12"/>
        <v>0.45209999999999995</v>
      </c>
      <c r="CR39" s="27">
        <f t="shared" si="40"/>
        <v>90420000</v>
      </c>
      <c r="CS39" s="27">
        <f t="shared" si="41"/>
        <v>0</v>
      </c>
      <c r="CT39" s="27">
        <f t="shared" si="41"/>
        <v>0</v>
      </c>
      <c r="CU39" s="27">
        <f t="shared" si="41"/>
        <v>0</v>
      </c>
      <c r="CV39" s="27">
        <f t="shared" si="41"/>
        <v>0</v>
      </c>
      <c r="CW39" s="27">
        <f t="shared" si="41"/>
        <v>0</v>
      </c>
      <c r="CX39" s="27">
        <f t="shared" si="41"/>
        <v>0</v>
      </c>
      <c r="CY39" s="27">
        <f t="shared" si="41"/>
        <v>0</v>
      </c>
      <c r="CZ39" s="27">
        <f t="shared" si="51"/>
        <v>0</v>
      </c>
      <c r="DA39" s="27">
        <f t="shared" si="51"/>
        <v>0</v>
      </c>
      <c r="DB39" s="27">
        <f t="shared" si="51"/>
        <v>0</v>
      </c>
      <c r="DC39" s="27">
        <f t="shared" si="43"/>
        <v>0</v>
      </c>
      <c r="DD39" s="27">
        <f t="shared" si="43"/>
        <v>0</v>
      </c>
      <c r="DE39" s="27">
        <f t="shared" si="43"/>
        <v>0</v>
      </c>
      <c r="DF39" s="27">
        <f t="shared" si="52"/>
        <v>0</v>
      </c>
      <c r="DG39" s="27">
        <f t="shared" si="52"/>
        <v>0</v>
      </c>
      <c r="DH39" s="27">
        <f t="shared" si="52"/>
        <v>0</v>
      </c>
      <c r="DI39" s="27"/>
      <c r="DJ39" s="27">
        <f t="shared" si="53"/>
        <v>0</v>
      </c>
      <c r="DK39" s="27">
        <f t="shared" si="46"/>
        <v>90420000</v>
      </c>
      <c r="DL39" s="27">
        <f t="shared" si="54"/>
        <v>0</v>
      </c>
      <c r="DN39" s="33">
        <f t="shared" si="19"/>
        <v>200000000</v>
      </c>
      <c r="DO39" s="33">
        <f t="shared" si="20"/>
        <v>200000000</v>
      </c>
      <c r="DP39" s="33">
        <f t="shared" si="21"/>
        <v>200000000</v>
      </c>
    </row>
    <row r="40" spans="1:120" ht="25.5" hidden="1" customHeight="1" x14ac:dyDescent="0.25">
      <c r="A40" s="236"/>
      <c r="B40" s="231"/>
      <c r="C40" s="23" t="s">
        <v>134</v>
      </c>
      <c r="D40" s="24" t="s">
        <v>135</v>
      </c>
      <c r="E40" s="25">
        <v>410</v>
      </c>
      <c r="F40" s="26" t="s">
        <v>75</v>
      </c>
      <c r="G40" s="27">
        <f t="shared" si="32"/>
        <v>0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61"/>
      <c r="AA40" s="61">
        <f>5000000-5000000</f>
        <v>0</v>
      </c>
      <c r="AC40" s="29" t="e">
        <f t="shared" si="1"/>
        <v>#DIV/0!</v>
      </c>
      <c r="AD40" s="27">
        <f t="shared" si="33"/>
        <v>0</v>
      </c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9" t="e">
        <f t="shared" si="3"/>
        <v>#DIV/0!</v>
      </c>
      <c r="AZ40" s="27">
        <f t="shared" si="34"/>
        <v>0</v>
      </c>
      <c r="BA40" s="27">
        <f t="shared" si="35"/>
        <v>0</v>
      </c>
      <c r="BB40" s="27">
        <f t="shared" si="36"/>
        <v>0</v>
      </c>
      <c r="BC40" s="27">
        <f t="shared" si="36"/>
        <v>0</v>
      </c>
      <c r="BD40" s="27">
        <f t="shared" si="36"/>
        <v>0</v>
      </c>
      <c r="BE40" s="27">
        <f t="shared" si="48"/>
        <v>0</v>
      </c>
      <c r="BF40" s="27">
        <f t="shared" si="48"/>
        <v>0</v>
      </c>
      <c r="BG40" s="27">
        <f t="shared" si="48"/>
        <v>0</v>
      </c>
      <c r="BH40" s="27">
        <f t="shared" si="48"/>
        <v>0</v>
      </c>
      <c r="BI40" s="27">
        <f t="shared" si="48"/>
        <v>0</v>
      </c>
      <c r="BJ40" s="27">
        <f t="shared" si="48"/>
        <v>0</v>
      </c>
      <c r="BK40" s="27">
        <f t="shared" si="48"/>
        <v>0</v>
      </c>
      <c r="BL40" s="27">
        <f t="shared" si="48"/>
        <v>0</v>
      </c>
      <c r="BM40" s="27">
        <f t="shared" si="48"/>
        <v>0</v>
      </c>
      <c r="BN40" s="27">
        <f t="shared" si="48"/>
        <v>0</v>
      </c>
      <c r="BO40" s="27">
        <f t="shared" si="48"/>
        <v>0</v>
      </c>
      <c r="BP40" s="27">
        <f t="shared" si="48"/>
        <v>0</v>
      </c>
      <c r="BQ40" s="27"/>
      <c r="BR40" s="27"/>
      <c r="BS40" s="27">
        <f t="shared" si="49"/>
        <v>0</v>
      </c>
      <c r="BT40" s="27">
        <f t="shared" si="50"/>
        <v>0</v>
      </c>
      <c r="BU40" s="29" t="e">
        <f t="shared" si="10"/>
        <v>#DIV/0!</v>
      </c>
      <c r="BV40" s="27">
        <f t="shared" si="39"/>
        <v>0</v>
      </c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9" t="e">
        <f t="shared" si="12"/>
        <v>#DIV/0!</v>
      </c>
      <c r="CR40" s="27">
        <f t="shared" si="40"/>
        <v>0</v>
      </c>
      <c r="CS40" s="27">
        <f t="shared" si="41"/>
        <v>0</v>
      </c>
      <c r="CT40" s="27">
        <f t="shared" si="41"/>
        <v>0</v>
      </c>
      <c r="CU40" s="27">
        <f t="shared" si="41"/>
        <v>0</v>
      </c>
      <c r="CV40" s="27">
        <f t="shared" si="41"/>
        <v>0</v>
      </c>
      <c r="CW40" s="27">
        <f t="shared" si="41"/>
        <v>0</v>
      </c>
      <c r="CX40" s="27">
        <f t="shared" si="41"/>
        <v>0</v>
      </c>
      <c r="CY40" s="27">
        <f t="shared" si="41"/>
        <v>0</v>
      </c>
      <c r="CZ40" s="27">
        <f t="shared" si="51"/>
        <v>0</v>
      </c>
      <c r="DA40" s="27">
        <f t="shared" si="51"/>
        <v>0</v>
      </c>
      <c r="DB40" s="27">
        <f t="shared" si="51"/>
        <v>0</v>
      </c>
      <c r="DC40" s="27">
        <f t="shared" si="43"/>
        <v>0</v>
      </c>
      <c r="DD40" s="27">
        <f t="shared" si="43"/>
        <v>0</v>
      </c>
      <c r="DE40" s="27">
        <f t="shared" si="43"/>
        <v>0</v>
      </c>
      <c r="DF40" s="27">
        <f t="shared" si="52"/>
        <v>0</v>
      </c>
      <c r="DG40" s="27">
        <f t="shared" si="52"/>
        <v>0</v>
      </c>
      <c r="DH40" s="27">
        <f t="shared" si="52"/>
        <v>0</v>
      </c>
      <c r="DI40" s="27"/>
      <c r="DJ40" s="27">
        <f t="shared" si="53"/>
        <v>0</v>
      </c>
      <c r="DK40" s="27">
        <f t="shared" si="46"/>
        <v>0</v>
      </c>
      <c r="DL40" s="27">
        <f t="shared" si="54"/>
        <v>0</v>
      </c>
      <c r="DN40" s="33">
        <f t="shared" si="19"/>
        <v>0</v>
      </c>
      <c r="DO40" s="33">
        <f t="shared" si="20"/>
        <v>0</v>
      </c>
      <c r="DP40" s="33">
        <f t="shared" si="21"/>
        <v>0</v>
      </c>
    </row>
    <row r="41" spans="1:120" ht="20.25" customHeight="1" x14ac:dyDescent="0.25">
      <c r="A41" s="236"/>
      <c r="B41" s="229" t="s">
        <v>136</v>
      </c>
      <c r="C41" s="23" t="s">
        <v>137</v>
      </c>
      <c r="D41" s="24" t="s">
        <v>138</v>
      </c>
      <c r="E41" s="25">
        <v>410</v>
      </c>
      <c r="F41" s="26" t="s">
        <v>89</v>
      </c>
      <c r="G41" s="27">
        <f t="shared" si="32"/>
        <v>1344000000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>
        <f>1300000000+44000000</f>
        <v>1344000000</v>
      </c>
      <c r="T41" s="27"/>
      <c r="U41" s="27"/>
      <c r="V41" s="27"/>
      <c r="W41" s="27"/>
      <c r="X41" s="27"/>
      <c r="Y41" s="27"/>
      <c r="Z41" s="61"/>
      <c r="AA41" s="61"/>
      <c r="AC41" s="29">
        <f t="shared" si="1"/>
        <v>0.96726190476190477</v>
      </c>
      <c r="AD41" s="27">
        <f t="shared" si="33"/>
        <v>1300000000</v>
      </c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>
        <f>+'[3]MAYO 2016'!$V$947</f>
        <v>1300000000</v>
      </c>
      <c r="AQ41" s="27"/>
      <c r="AR41" s="27"/>
      <c r="AS41" s="27"/>
      <c r="AT41" s="27"/>
      <c r="AU41" s="27"/>
      <c r="AV41" s="27"/>
      <c r="AW41" s="27"/>
      <c r="AX41" s="27"/>
      <c r="AY41" s="29">
        <f t="shared" si="3"/>
        <v>3.2738095238095233E-2</v>
      </c>
      <c r="AZ41" s="27">
        <f t="shared" si="34"/>
        <v>44000000</v>
      </c>
      <c r="BA41" s="27">
        <f t="shared" si="35"/>
        <v>0</v>
      </c>
      <c r="BB41" s="27">
        <f t="shared" si="36"/>
        <v>0</v>
      </c>
      <c r="BC41" s="27">
        <f t="shared" si="36"/>
        <v>0</v>
      </c>
      <c r="BD41" s="27">
        <f t="shared" si="36"/>
        <v>0</v>
      </c>
      <c r="BE41" s="27">
        <f t="shared" si="48"/>
        <v>0</v>
      </c>
      <c r="BF41" s="27">
        <f t="shared" si="48"/>
        <v>0</v>
      </c>
      <c r="BG41" s="27">
        <f t="shared" si="48"/>
        <v>0</v>
      </c>
      <c r="BH41" s="27">
        <f t="shared" si="48"/>
        <v>0</v>
      </c>
      <c r="BI41" s="27">
        <f t="shared" si="48"/>
        <v>0</v>
      </c>
      <c r="BJ41" s="27">
        <f t="shared" si="48"/>
        <v>0</v>
      </c>
      <c r="BK41" s="27">
        <f t="shared" si="48"/>
        <v>0</v>
      </c>
      <c r="BL41" s="27">
        <f t="shared" si="48"/>
        <v>44000000</v>
      </c>
      <c r="BM41" s="27">
        <f t="shared" si="48"/>
        <v>0</v>
      </c>
      <c r="BN41" s="27">
        <f t="shared" si="48"/>
        <v>0</v>
      </c>
      <c r="BO41" s="27">
        <f t="shared" si="48"/>
        <v>0</v>
      </c>
      <c r="BP41" s="27">
        <f t="shared" si="48"/>
        <v>0</v>
      </c>
      <c r="BQ41" s="27"/>
      <c r="BR41" s="27">
        <f>+Y41-AV41</f>
        <v>0</v>
      </c>
      <c r="BS41" s="27">
        <f t="shared" si="49"/>
        <v>0</v>
      </c>
      <c r="BT41" s="27">
        <f t="shared" si="50"/>
        <v>0</v>
      </c>
      <c r="BU41" s="29">
        <f t="shared" si="10"/>
        <v>0.54805981919642854</v>
      </c>
      <c r="BV41" s="27">
        <f t="shared" si="39"/>
        <v>736592397</v>
      </c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>
        <f>+'[1]JUNIO 2016'!$H$1079</f>
        <v>736592397</v>
      </c>
      <c r="CI41" s="27"/>
      <c r="CJ41" s="27"/>
      <c r="CK41" s="27"/>
      <c r="CL41" s="27"/>
      <c r="CM41" s="27"/>
      <c r="CN41" s="27"/>
      <c r="CO41" s="27"/>
      <c r="CP41" s="27"/>
      <c r="CQ41" s="29">
        <f t="shared" si="12"/>
        <v>0.45194018080357146</v>
      </c>
      <c r="CR41" s="27">
        <f t="shared" si="40"/>
        <v>607407603</v>
      </c>
      <c r="CS41" s="27">
        <f t="shared" si="41"/>
        <v>0</v>
      </c>
      <c r="CT41" s="27">
        <f t="shared" si="41"/>
        <v>0</v>
      </c>
      <c r="CU41" s="27">
        <f t="shared" si="41"/>
        <v>0</v>
      </c>
      <c r="CV41" s="27">
        <f t="shared" si="41"/>
        <v>0</v>
      </c>
      <c r="CW41" s="27">
        <f t="shared" si="41"/>
        <v>0</v>
      </c>
      <c r="CX41" s="27">
        <f t="shared" si="41"/>
        <v>0</v>
      </c>
      <c r="CY41" s="27">
        <f t="shared" si="41"/>
        <v>0</v>
      </c>
      <c r="CZ41" s="27">
        <f t="shared" si="51"/>
        <v>0</v>
      </c>
      <c r="DA41" s="27">
        <f t="shared" si="51"/>
        <v>0</v>
      </c>
      <c r="DB41" s="27">
        <f t="shared" si="51"/>
        <v>0</v>
      </c>
      <c r="DC41" s="27">
        <f t="shared" si="43"/>
        <v>0</v>
      </c>
      <c r="DD41" s="27">
        <f t="shared" si="43"/>
        <v>607407603</v>
      </c>
      <c r="DE41" s="27">
        <f t="shared" si="43"/>
        <v>0</v>
      </c>
      <c r="DF41" s="27">
        <f t="shared" si="52"/>
        <v>0</v>
      </c>
      <c r="DG41" s="27">
        <f t="shared" si="52"/>
        <v>0</v>
      </c>
      <c r="DH41" s="27">
        <f t="shared" si="52"/>
        <v>0</v>
      </c>
      <c r="DI41" s="27"/>
      <c r="DJ41" s="27">
        <f t="shared" si="53"/>
        <v>0</v>
      </c>
      <c r="DK41" s="27">
        <f t="shared" si="46"/>
        <v>0</v>
      </c>
      <c r="DL41" s="27">
        <f t="shared" si="54"/>
        <v>0</v>
      </c>
      <c r="DN41" s="33">
        <f t="shared" si="19"/>
        <v>1344000000</v>
      </c>
      <c r="DO41" s="33">
        <f t="shared" si="20"/>
        <v>1344000000</v>
      </c>
      <c r="DP41" s="33">
        <f t="shared" si="21"/>
        <v>1344000000</v>
      </c>
    </row>
    <row r="42" spans="1:120" ht="29.25" customHeight="1" x14ac:dyDescent="0.25">
      <c r="A42" s="236"/>
      <c r="B42" s="230"/>
      <c r="C42" s="23" t="s">
        <v>139</v>
      </c>
      <c r="D42" s="24" t="s">
        <v>140</v>
      </c>
      <c r="E42" s="25">
        <v>410</v>
      </c>
      <c r="F42" s="26" t="s">
        <v>89</v>
      </c>
      <c r="G42" s="27">
        <f t="shared" si="32"/>
        <v>96094870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>
        <f>50000000+3094870+20000000+23000000</f>
        <v>96094870</v>
      </c>
      <c r="W42" s="27"/>
      <c r="X42" s="27"/>
      <c r="Y42" s="27"/>
      <c r="Z42" s="61"/>
      <c r="AA42" s="61"/>
      <c r="AC42" s="29">
        <f t="shared" si="1"/>
        <v>0.81574458657366411</v>
      </c>
      <c r="AD42" s="27">
        <f t="shared" si="33"/>
        <v>78388870</v>
      </c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>
        <f>+'[1]JUNIO 2016'!$Y$1217</f>
        <v>78388870</v>
      </c>
      <c r="AT42" s="27"/>
      <c r="AU42" s="27"/>
      <c r="AV42" s="27"/>
      <c r="AW42" s="27"/>
      <c r="AX42" s="27"/>
      <c r="AY42" s="29">
        <f t="shared" si="3"/>
        <v>0.18425541342633589</v>
      </c>
      <c r="AZ42" s="27">
        <f t="shared" si="34"/>
        <v>17706000</v>
      </c>
      <c r="BA42" s="27">
        <f t="shared" si="35"/>
        <v>0</v>
      </c>
      <c r="BB42" s="27">
        <f t="shared" si="36"/>
        <v>0</v>
      </c>
      <c r="BC42" s="27">
        <f t="shared" si="36"/>
        <v>0</v>
      </c>
      <c r="BD42" s="27">
        <f t="shared" si="36"/>
        <v>0</v>
      </c>
      <c r="BE42" s="27">
        <f t="shared" si="48"/>
        <v>0</v>
      </c>
      <c r="BF42" s="27">
        <f t="shared" si="48"/>
        <v>0</v>
      </c>
      <c r="BG42" s="27">
        <f t="shared" si="48"/>
        <v>0</v>
      </c>
      <c r="BH42" s="27">
        <f t="shared" si="48"/>
        <v>0</v>
      </c>
      <c r="BI42" s="27">
        <f>+P42-AN42</f>
        <v>0</v>
      </c>
      <c r="BJ42" s="27">
        <f>+Q42-AO42</f>
        <v>0</v>
      </c>
      <c r="BK42" s="27">
        <f t="shared" si="48"/>
        <v>0</v>
      </c>
      <c r="BL42" s="27">
        <f t="shared" si="48"/>
        <v>0</v>
      </c>
      <c r="BM42" s="27">
        <f t="shared" si="48"/>
        <v>0</v>
      </c>
      <c r="BN42" s="27">
        <f t="shared" si="48"/>
        <v>0</v>
      </c>
      <c r="BO42" s="27">
        <f t="shared" si="48"/>
        <v>17706000</v>
      </c>
      <c r="BP42" s="27">
        <f t="shared" si="48"/>
        <v>0</v>
      </c>
      <c r="BQ42" s="27"/>
      <c r="BR42" s="27">
        <f>+Y42-AV42</f>
        <v>0</v>
      </c>
      <c r="BS42" s="27">
        <f t="shared" si="49"/>
        <v>0</v>
      </c>
      <c r="BT42" s="27">
        <f t="shared" si="50"/>
        <v>0</v>
      </c>
      <c r="BU42" s="29">
        <f t="shared" si="10"/>
        <v>0.74003816228691499</v>
      </c>
      <c r="BV42" s="27">
        <f t="shared" si="39"/>
        <v>71113871</v>
      </c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>
        <f>+'[3]MAYO 2016'!$H$1077</f>
        <v>71113871</v>
      </c>
      <c r="CL42" s="27"/>
      <c r="CM42" s="27"/>
      <c r="CN42" s="27"/>
      <c r="CO42" s="27"/>
      <c r="CP42" s="27"/>
      <c r="CQ42" s="29">
        <f t="shared" si="12"/>
        <v>0.25996183771308501</v>
      </c>
      <c r="CR42" s="27">
        <f t="shared" si="40"/>
        <v>24980999</v>
      </c>
      <c r="CS42" s="27">
        <f t="shared" si="41"/>
        <v>0</v>
      </c>
      <c r="CT42" s="27">
        <f t="shared" si="41"/>
        <v>0</v>
      </c>
      <c r="CU42" s="27">
        <f t="shared" si="41"/>
        <v>0</v>
      </c>
      <c r="CV42" s="27">
        <f t="shared" si="41"/>
        <v>0</v>
      </c>
      <c r="CW42" s="27">
        <f t="shared" si="41"/>
        <v>0</v>
      </c>
      <c r="CX42" s="27">
        <f t="shared" si="41"/>
        <v>0</v>
      </c>
      <c r="CY42" s="27">
        <f t="shared" si="41"/>
        <v>0</v>
      </c>
      <c r="CZ42" s="27">
        <f t="shared" si="51"/>
        <v>0</v>
      </c>
      <c r="DA42" s="27">
        <f t="shared" si="51"/>
        <v>0</v>
      </c>
      <c r="DB42" s="27">
        <f t="shared" si="51"/>
        <v>0</v>
      </c>
      <c r="DC42" s="27">
        <f t="shared" si="43"/>
        <v>0</v>
      </c>
      <c r="DD42" s="27">
        <f t="shared" si="43"/>
        <v>0</v>
      </c>
      <c r="DE42" s="27">
        <f t="shared" si="43"/>
        <v>0</v>
      </c>
      <c r="DF42" s="27">
        <f t="shared" si="52"/>
        <v>0</v>
      </c>
      <c r="DG42" s="27">
        <f t="shared" si="52"/>
        <v>24980999</v>
      </c>
      <c r="DH42" s="27">
        <f t="shared" si="52"/>
        <v>0</v>
      </c>
      <c r="DI42" s="27"/>
      <c r="DJ42" s="27">
        <f t="shared" si="53"/>
        <v>0</v>
      </c>
      <c r="DK42" s="27">
        <f t="shared" si="46"/>
        <v>0</v>
      </c>
      <c r="DL42" s="27">
        <f t="shared" si="54"/>
        <v>0</v>
      </c>
      <c r="DN42" s="33">
        <f t="shared" si="19"/>
        <v>96094870</v>
      </c>
      <c r="DO42" s="33">
        <f t="shared" si="20"/>
        <v>96094870</v>
      </c>
      <c r="DP42" s="33">
        <f t="shared" si="21"/>
        <v>96094870</v>
      </c>
    </row>
    <row r="43" spans="1:120" ht="18.75" customHeight="1" x14ac:dyDescent="0.25">
      <c r="A43" s="236"/>
      <c r="B43" s="231"/>
      <c r="C43" s="23" t="s">
        <v>141</v>
      </c>
      <c r="D43" s="24" t="s">
        <v>142</v>
      </c>
      <c r="E43" s="25">
        <v>410</v>
      </c>
      <c r="F43" s="26" t="s">
        <v>89</v>
      </c>
      <c r="G43" s="27">
        <f t="shared" si="32"/>
        <v>16905130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>
        <f>20000000-3094870</f>
        <v>16905130</v>
      </c>
      <c r="W43" s="27"/>
      <c r="X43" s="27"/>
      <c r="Y43" s="27"/>
      <c r="Z43" s="61"/>
      <c r="AA43" s="61"/>
      <c r="AC43" s="29">
        <f t="shared" si="1"/>
        <v>1</v>
      </c>
      <c r="AD43" s="27">
        <f t="shared" si="33"/>
        <v>16905130</v>
      </c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>
        <f>+'[2]MARZO 2016 ULTIMO'!$Y$724</f>
        <v>16905130</v>
      </c>
      <c r="AT43" s="27"/>
      <c r="AU43" s="27"/>
      <c r="AV43" s="27"/>
      <c r="AW43" s="27"/>
      <c r="AX43" s="27"/>
      <c r="AY43" s="29">
        <f t="shared" si="3"/>
        <v>0</v>
      </c>
      <c r="AZ43" s="27">
        <f t="shared" si="34"/>
        <v>0</v>
      </c>
      <c r="BA43" s="27">
        <f t="shared" si="35"/>
        <v>0</v>
      </c>
      <c r="BB43" s="27">
        <f t="shared" si="36"/>
        <v>0</v>
      </c>
      <c r="BC43" s="27">
        <f t="shared" si="36"/>
        <v>0</v>
      </c>
      <c r="BD43" s="27">
        <f t="shared" si="36"/>
        <v>0</v>
      </c>
      <c r="BE43" s="27">
        <f t="shared" si="48"/>
        <v>0</v>
      </c>
      <c r="BF43" s="27">
        <f t="shared" si="48"/>
        <v>0</v>
      </c>
      <c r="BG43" s="27">
        <f t="shared" si="48"/>
        <v>0</v>
      </c>
      <c r="BH43" s="27">
        <f t="shared" si="48"/>
        <v>0</v>
      </c>
      <c r="BI43" s="27">
        <f>+P43-AN43</f>
        <v>0</v>
      </c>
      <c r="BJ43" s="27">
        <f>+Q43-AO43</f>
        <v>0</v>
      </c>
      <c r="BK43" s="27">
        <f t="shared" si="48"/>
        <v>0</v>
      </c>
      <c r="BL43" s="27">
        <f t="shared" si="48"/>
        <v>0</v>
      </c>
      <c r="BM43" s="27">
        <f t="shared" si="48"/>
        <v>0</v>
      </c>
      <c r="BN43" s="27"/>
      <c r="BO43" s="27">
        <f t="shared" si="48"/>
        <v>0</v>
      </c>
      <c r="BP43" s="27">
        <f t="shared" si="48"/>
        <v>0</v>
      </c>
      <c r="BQ43" s="27"/>
      <c r="BR43" s="27"/>
      <c r="BS43" s="27">
        <f t="shared" si="49"/>
        <v>0</v>
      </c>
      <c r="BT43" s="27">
        <f t="shared" si="50"/>
        <v>0</v>
      </c>
      <c r="BU43" s="29">
        <f t="shared" si="10"/>
        <v>1</v>
      </c>
      <c r="BV43" s="27">
        <f t="shared" si="39"/>
        <v>16905130</v>
      </c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>
        <f>+'[4]ABRIL 2016'!$H$929</f>
        <v>16905130</v>
      </c>
      <c r="CL43" s="27"/>
      <c r="CM43" s="27"/>
      <c r="CN43" s="27"/>
      <c r="CO43" s="27"/>
      <c r="CP43" s="27"/>
      <c r="CQ43" s="29">
        <f t="shared" si="12"/>
        <v>0</v>
      </c>
      <c r="CR43" s="27">
        <f t="shared" si="40"/>
        <v>0</v>
      </c>
      <c r="CS43" s="27">
        <f t="shared" si="41"/>
        <v>0</v>
      </c>
      <c r="CT43" s="27">
        <f t="shared" si="41"/>
        <v>0</v>
      </c>
      <c r="CU43" s="27">
        <f t="shared" si="41"/>
        <v>0</v>
      </c>
      <c r="CV43" s="27">
        <f t="shared" si="41"/>
        <v>0</v>
      </c>
      <c r="CW43" s="27">
        <f t="shared" si="41"/>
        <v>0</v>
      </c>
      <c r="CX43" s="27">
        <f t="shared" si="41"/>
        <v>0</v>
      </c>
      <c r="CY43" s="27">
        <f t="shared" si="41"/>
        <v>0</v>
      </c>
      <c r="CZ43" s="27">
        <f t="shared" si="51"/>
        <v>0</v>
      </c>
      <c r="DA43" s="27">
        <f t="shared" si="51"/>
        <v>0</v>
      </c>
      <c r="DB43" s="27">
        <f t="shared" si="51"/>
        <v>0</v>
      </c>
      <c r="DC43" s="27">
        <f t="shared" si="43"/>
        <v>0</v>
      </c>
      <c r="DD43" s="27">
        <f t="shared" si="43"/>
        <v>0</v>
      </c>
      <c r="DE43" s="27">
        <f t="shared" si="43"/>
        <v>0</v>
      </c>
      <c r="DF43" s="27">
        <f t="shared" si="52"/>
        <v>0</v>
      </c>
      <c r="DG43" s="27">
        <f t="shared" si="52"/>
        <v>0</v>
      </c>
      <c r="DH43" s="27">
        <f t="shared" si="52"/>
        <v>0</v>
      </c>
      <c r="DI43" s="27"/>
      <c r="DJ43" s="27">
        <f t="shared" si="53"/>
        <v>0</v>
      </c>
      <c r="DK43" s="27">
        <f t="shared" si="46"/>
        <v>0</v>
      </c>
      <c r="DL43" s="27">
        <f t="shared" si="54"/>
        <v>0</v>
      </c>
      <c r="DN43" s="33">
        <f t="shared" si="19"/>
        <v>16905130</v>
      </c>
      <c r="DO43" s="33">
        <f t="shared" si="20"/>
        <v>16905130</v>
      </c>
      <c r="DP43" s="33">
        <f t="shared" si="21"/>
        <v>16905130</v>
      </c>
    </row>
    <row r="44" spans="1:120" ht="19.5" customHeight="1" x14ac:dyDescent="0.25">
      <c r="A44" s="236"/>
      <c r="B44" s="229" t="s">
        <v>143</v>
      </c>
      <c r="C44" s="23" t="s">
        <v>144</v>
      </c>
      <c r="D44" s="24" t="s">
        <v>145</v>
      </c>
      <c r="E44" s="25">
        <v>410</v>
      </c>
      <c r="F44" s="26" t="s">
        <v>89</v>
      </c>
      <c r="G44" s="27">
        <f t="shared" si="32"/>
        <v>20000000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>
        <v>20000000</v>
      </c>
      <c r="W44" s="27"/>
      <c r="X44" s="27"/>
      <c r="Y44" s="27"/>
      <c r="Z44" s="61"/>
      <c r="AA44" s="61"/>
      <c r="AC44" s="29">
        <f t="shared" si="1"/>
        <v>1</v>
      </c>
      <c r="AD44" s="27">
        <f t="shared" si="33"/>
        <v>20000000</v>
      </c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>
        <f>+'[5]ENERO 2016'!$Y$406</f>
        <v>20000000</v>
      </c>
      <c r="AT44" s="27"/>
      <c r="AU44" s="27"/>
      <c r="AV44" s="27"/>
      <c r="AW44" s="27"/>
      <c r="AX44" s="27"/>
      <c r="AY44" s="29">
        <f t="shared" si="3"/>
        <v>0</v>
      </c>
      <c r="AZ44" s="27">
        <f t="shared" si="34"/>
        <v>0</v>
      </c>
      <c r="BA44" s="27">
        <f t="shared" si="35"/>
        <v>0</v>
      </c>
      <c r="BB44" s="27">
        <f t="shared" si="36"/>
        <v>0</v>
      </c>
      <c r="BC44" s="27">
        <f t="shared" si="36"/>
        <v>0</v>
      </c>
      <c r="BD44" s="27">
        <f t="shared" si="36"/>
        <v>0</v>
      </c>
      <c r="BE44" s="27">
        <f t="shared" si="48"/>
        <v>0</v>
      </c>
      <c r="BF44" s="27">
        <f t="shared" si="48"/>
        <v>0</v>
      </c>
      <c r="BG44" s="27">
        <f t="shared" si="48"/>
        <v>0</v>
      </c>
      <c r="BH44" s="27">
        <f t="shared" si="48"/>
        <v>0</v>
      </c>
      <c r="BI44" s="27">
        <f t="shared" si="48"/>
        <v>0</v>
      </c>
      <c r="BJ44" s="27">
        <f t="shared" ref="BJ44:BJ57" si="55">+Q44-AO44</f>
        <v>0</v>
      </c>
      <c r="BK44" s="27">
        <f t="shared" si="48"/>
        <v>0</v>
      </c>
      <c r="BL44" s="27">
        <f t="shared" si="48"/>
        <v>0</v>
      </c>
      <c r="BM44" s="27">
        <f t="shared" si="48"/>
        <v>0</v>
      </c>
      <c r="BN44" s="27">
        <f>+U44-AR44</f>
        <v>0</v>
      </c>
      <c r="BO44" s="27">
        <f t="shared" si="48"/>
        <v>0</v>
      </c>
      <c r="BP44" s="27">
        <f t="shared" si="48"/>
        <v>0</v>
      </c>
      <c r="BQ44" s="27"/>
      <c r="BR44" s="27">
        <f>+Y44-AV44</f>
        <v>0</v>
      </c>
      <c r="BS44" s="27">
        <f t="shared" si="49"/>
        <v>0</v>
      </c>
      <c r="BT44" s="27">
        <f t="shared" si="50"/>
        <v>0</v>
      </c>
      <c r="BU44" s="29">
        <f t="shared" si="10"/>
        <v>0.90854349999999995</v>
      </c>
      <c r="BV44" s="27">
        <f t="shared" si="39"/>
        <v>18170870</v>
      </c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>
        <f>+'[3]MAYO 2016'!$H$1107</f>
        <v>18170870</v>
      </c>
      <c r="CL44" s="27"/>
      <c r="CM44" s="27"/>
      <c r="CN44" s="27"/>
      <c r="CO44" s="27"/>
      <c r="CP44" s="27"/>
      <c r="CQ44" s="29">
        <f t="shared" si="12"/>
        <v>9.1456500000000052E-2</v>
      </c>
      <c r="CR44" s="27">
        <f t="shared" si="40"/>
        <v>1829130</v>
      </c>
      <c r="CS44" s="27">
        <f t="shared" si="41"/>
        <v>0</v>
      </c>
      <c r="CT44" s="27">
        <f t="shared" si="41"/>
        <v>0</v>
      </c>
      <c r="CU44" s="27">
        <f t="shared" si="41"/>
        <v>0</v>
      </c>
      <c r="CV44" s="27">
        <f t="shared" si="41"/>
        <v>0</v>
      </c>
      <c r="CW44" s="27">
        <f t="shared" si="41"/>
        <v>0</v>
      </c>
      <c r="CX44" s="27">
        <f t="shared" si="41"/>
        <v>0</v>
      </c>
      <c r="CY44" s="27">
        <f t="shared" si="41"/>
        <v>0</v>
      </c>
      <c r="CZ44" s="27">
        <f t="shared" si="51"/>
        <v>0</v>
      </c>
      <c r="DA44" s="27">
        <f t="shared" si="51"/>
        <v>0</v>
      </c>
      <c r="DB44" s="27">
        <f t="shared" si="51"/>
        <v>0</v>
      </c>
      <c r="DC44" s="27">
        <f t="shared" si="43"/>
        <v>0</v>
      </c>
      <c r="DD44" s="27">
        <f t="shared" si="43"/>
        <v>0</v>
      </c>
      <c r="DE44" s="27">
        <f t="shared" si="43"/>
        <v>0</v>
      </c>
      <c r="DF44" s="27">
        <f t="shared" si="52"/>
        <v>0</v>
      </c>
      <c r="DG44" s="27">
        <f t="shared" si="52"/>
        <v>1829130</v>
      </c>
      <c r="DH44" s="27">
        <f t="shared" si="52"/>
        <v>0</v>
      </c>
      <c r="DI44" s="27"/>
      <c r="DJ44" s="27">
        <f t="shared" si="53"/>
        <v>0</v>
      </c>
      <c r="DK44" s="27">
        <f t="shared" si="46"/>
        <v>0</v>
      </c>
      <c r="DL44" s="27">
        <f t="shared" si="54"/>
        <v>0</v>
      </c>
      <c r="DN44" s="33">
        <f t="shared" si="19"/>
        <v>20000000</v>
      </c>
      <c r="DO44" s="33">
        <f t="shared" si="20"/>
        <v>20000000</v>
      </c>
      <c r="DP44" s="33">
        <f t="shared" si="21"/>
        <v>20000000</v>
      </c>
    </row>
    <row r="45" spans="1:120" ht="33.75" customHeight="1" x14ac:dyDescent="0.25">
      <c r="A45" s="236"/>
      <c r="B45" s="230"/>
      <c r="C45" s="23" t="s">
        <v>146</v>
      </c>
      <c r="D45" s="24" t="s">
        <v>147</v>
      </c>
      <c r="E45" s="25">
        <v>410</v>
      </c>
      <c r="F45" s="26" t="s">
        <v>89</v>
      </c>
      <c r="G45" s="27">
        <f t="shared" si="32"/>
        <v>10000000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>
        <v>10000000</v>
      </c>
      <c r="W45" s="27"/>
      <c r="X45" s="27"/>
      <c r="Y45" s="27"/>
      <c r="Z45" s="61"/>
      <c r="AA45" s="61"/>
      <c r="AC45" s="29">
        <f t="shared" si="1"/>
        <v>0.92333399999999999</v>
      </c>
      <c r="AD45" s="27">
        <f t="shared" si="33"/>
        <v>9233340</v>
      </c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>
        <f>+'[3]MAYO 2016'!$G$1115</f>
        <v>9233340</v>
      </c>
      <c r="AT45" s="27"/>
      <c r="AU45" s="27"/>
      <c r="AV45" s="27"/>
      <c r="AW45" s="27"/>
      <c r="AX45" s="27"/>
      <c r="AY45" s="29">
        <f t="shared" si="3"/>
        <v>7.6666000000000012E-2</v>
      </c>
      <c r="AZ45" s="27">
        <f t="shared" si="34"/>
        <v>766660</v>
      </c>
      <c r="BA45" s="27">
        <f t="shared" si="35"/>
        <v>0</v>
      </c>
      <c r="BB45" s="27">
        <f t="shared" si="36"/>
        <v>0</v>
      </c>
      <c r="BC45" s="27">
        <f t="shared" si="36"/>
        <v>0</v>
      </c>
      <c r="BD45" s="27">
        <f t="shared" si="36"/>
        <v>0</v>
      </c>
      <c r="BE45" s="27">
        <f t="shared" si="48"/>
        <v>0</v>
      </c>
      <c r="BF45" s="27">
        <f t="shared" si="48"/>
        <v>0</v>
      </c>
      <c r="BG45" s="27">
        <f t="shared" si="48"/>
        <v>0</v>
      </c>
      <c r="BH45" s="27">
        <f t="shared" si="48"/>
        <v>0</v>
      </c>
      <c r="BI45" s="27">
        <f t="shared" si="48"/>
        <v>0</v>
      </c>
      <c r="BJ45" s="27">
        <f t="shared" si="55"/>
        <v>0</v>
      </c>
      <c r="BK45" s="27">
        <f t="shared" si="48"/>
        <v>0</v>
      </c>
      <c r="BL45" s="27">
        <f t="shared" si="48"/>
        <v>0</v>
      </c>
      <c r="BM45" s="27">
        <f t="shared" si="48"/>
        <v>0</v>
      </c>
      <c r="BN45" s="27">
        <f>+U45-AR45</f>
        <v>0</v>
      </c>
      <c r="BO45" s="27">
        <f t="shared" si="48"/>
        <v>766660</v>
      </c>
      <c r="BP45" s="27">
        <f t="shared" si="48"/>
        <v>0</v>
      </c>
      <c r="BQ45" s="27"/>
      <c r="BR45" s="27"/>
      <c r="BS45" s="27">
        <f t="shared" si="49"/>
        <v>0</v>
      </c>
      <c r="BT45" s="27">
        <f t="shared" si="50"/>
        <v>0</v>
      </c>
      <c r="BU45" s="29">
        <f t="shared" si="10"/>
        <v>0.92333399999999999</v>
      </c>
      <c r="BV45" s="27">
        <f t="shared" si="39"/>
        <v>9233340</v>
      </c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>
        <f>+'[3]MAYO 2016'!$H$1115</f>
        <v>9233340</v>
      </c>
      <c r="CL45" s="27"/>
      <c r="CM45" s="27"/>
      <c r="CN45" s="27"/>
      <c r="CO45" s="27"/>
      <c r="CP45" s="27"/>
      <c r="CQ45" s="29">
        <f t="shared" si="12"/>
        <v>7.6666000000000012E-2</v>
      </c>
      <c r="CR45" s="27">
        <f t="shared" si="40"/>
        <v>766660</v>
      </c>
      <c r="CS45" s="27">
        <f t="shared" si="41"/>
        <v>0</v>
      </c>
      <c r="CT45" s="27">
        <f t="shared" si="41"/>
        <v>0</v>
      </c>
      <c r="CU45" s="27">
        <f t="shared" si="41"/>
        <v>0</v>
      </c>
      <c r="CV45" s="27">
        <f t="shared" si="41"/>
        <v>0</v>
      </c>
      <c r="CW45" s="27">
        <f t="shared" si="41"/>
        <v>0</v>
      </c>
      <c r="CX45" s="27">
        <f t="shared" si="41"/>
        <v>0</v>
      </c>
      <c r="CY45" s="27">
        <f t="shared" si="41"/>
        <v>0</v>
      </c>
      <c r="CZ45" s="27">
        <f t="shared" si="51"/>
        <v>0</v>
      </c>
      <c r="DA45" s="27">
        <f t="shared" si="51"/>
        <v>0</v>
      </c>
      <c r="DB45" s="27">
        <f t="shared" si="51"/>
        <v>0</v>
      </c>
      <c r="DC45" s="27">
        <f t="shared" si="43"/>
        <v>0</v>
      </c>
      <c r="DD45" s="27">
        <f t="shared" si="43"/>
        <v>0</v>
      </c>
      <c r="DE45" s="27">
        <f t="shared" si="43"/>
        <v>0</v>
      </c>
      <c r="DF45" s="27">
        <f t="shared" si="52"/>
        <v>0</v>
      </c>
      <c r="DG45" s="27">
        <f t="shared" si="52"/>
        <v>766660</v>
      </c>
      <c r="DH45" s="27">
        <f t="shared" si="52"/>
        <v>0</v>
      </c>
      <c r="DI45" s="27"/>
      <c r="DJ45" s="27">
        <f t="shared" si="53"/>
        <v>0</v>
      </c>
      <c r="DK45" s="27">
        <f t="shared" si="46"/>
        <v>0</v>
      </c>
      <c r="DL45" s="27">
        <f t="shared" si="54"/>
        <v>0</v>
      </c>
      <c r="DN45" s="33">
        <f t="shared" si="19"/>
        <v>10000000</v>
      </c>
      <c r="DO45" s="33">
        <f t="shared" si="20"/>
        <v>10000000</v>
      </c>
      <c r="DP45" s="33">
        <f t="shared" si="21"/>
        <v>10000000</v>
      </c>
    </row>
    <row r="46" spans="1:120" ht="21.75" customHeight="1" x14ac:dyDescent="0.25">
      <c r="A46" s="236"/>
      <c r="B46" s="230"/>
      <c r="C46" s="23" t="s">
        <v>148</v>
      </c>
      <c r="D46" s="24" t="s">
        <v>149</v>
      </c>
      <c r="E46" s="25">
        <v>410</v>
      </c>
      <c r="F46" s="26" t="s">
        <v>89</v>
      </c>
      <c r="G46" s="27">
        <f t="shared" si="32"/>
        <v>20000000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>
        <v>20000000</v>
      </c>
      <c r="W46" s="27"/>
      <c r="X46" s="27"/>
      <c r="Y46" s="27"/>
      <c r="Z46" s="61"/>
      <c r="AA46" s="61"/>
      <c r="AC46" s="29">
        <f t="shared" si="1"/>
        <v>0</v>
      </c>
      <c r="AD46" s="27">
        <f t="shared" si="33"/>
        <v>0</v>
      </c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9">
        <f t="shared" si="3"/>
        <v>1</v>
      </c>
      <c r="AZ46" s="27">
        <f t="shared" si="34"/>
        <v>20000000</v>
      </c>
      <c r="BA46" s="27">
        <f t="shared" si="35"/>
        <v>0</v>
      </c>
      <c r="BB46" s="27">
        <f t="shared" si="36"/>
        <v>0</v>
      </c>
      <c r="BC46" s="27">
        <f t="shared" si="36"/>
        <v>0</v>
      </c>
      <c r="BD46" s="27">
        <f t="shared" si="36"/>
        <v>0</v>
      </c>
      <c r="BE46" s="27">
        <f t="shared" si="48"/>
        <v>0</v>
      </c>
      <c r="BF46" s="27">
        <f t="shared" si="48"/>
        <v>0</v>
      </c>
      <c r="BG46" s="27">
        <f t="shared" si="48"/>
        <v>0</v>
      </c>
      <c r="BH46" s="27">
        <f t="shared" si="48"/>
        <v>0</v>
      </c>
      <c r="BI46" s="27">
        <f t="shared" si="48"/>
        <v>0</v>
      </c>
      <c r="BJ46" s="27">
        <f t="shared" si="55"/>
        <v>0</v>
      </c>
      <c r="BK46" s="27">
        <f t="shared" si="48"/>
        <v>0</v>
      </c>
      <c r="BL46" s="27">
        <f t="shared" si="48"/>
        <v>0</v>
      </c>
      <c r="BM46" s="27">
        <f t="shared" si="48"/>
        <v>0</v>
      </c>
      <c r="BN46" s="27"/>
      <c r="BO46" s="27">
        <f t="shared" si="48"/>
        <v>20000000</v>
      </c>
      <c r="BP46" s="27">
        <f t="shared" si="48"/>
        <v>0</v>
      </c>
      <c r="BQ46" s="27"/>
      <c r="BR46" s="27"/>
      <c r="BS46" s="27">
        <f t="shared" si="49"/>
        <v>0</v>
      </c>
      <c r="BT46" s="27">
        <f t="shared" si="50"/>
        <v>0</v>
      </c>
      <c r="BU46" s="29">
        <f t="shared" si="10"/>
        <v>0</v>
      </c>
      <c r="BV46" s="27">
        <f t="shared" si="39"/>
        <v>0</v>
      </c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9">
        <f t="shared" si="12"/>
        <v>1</v>
      </c>
      <c r="CR46" s="27">
        <f t="shared" si="40"/>
        <v>20000000</v>
      </c>
      <c r="CS46" s="27">
        <f t="shared" si="41"/>
        <v>0</v>
      </c>
      <c r="CT46" s="27">
        <f t="shared" si="41"/>
        <v>0</v>
      </c>
      <c r="CU46" s="27">
        <f t="shared" si="41"/>
        <v>0</v>
      </c>
      <c r="CV46" s="27">
        <f t="shared" si="41"/>
        <v>0</v>
      </c>
      <c r="CW46" s="27">
        <f t="shared" si="41"/>
        <v>0</v>
      </c>
      <c r="CX46" s="27">
        <f t="shared" si="41"/>
        <v>0</v>
      </c>
      <c r="CY46" s="27">
        <f t="shared" si="41"/>
        <v>0</v>
      </c>
      <c r="CZ46" s="27">
        <f t="shared" si="51"/>
        <v>0</v>
      </c>
      <c r="DA46" s="27">
        <f t="shared" si="51"/>
        <v>0</v>
      </c>
      <c r="DB46" s="27">
        <f t="shared" si="51"/>
        <v>0</v>
      </c>
      <c r="DC46" s="27">
        <f t="shared" si="51"/>
        <v>0</v>
      </c>
      <c r="DD46" s="27">
        <f t="shared" si="51"/>
        <v>0</v>
      </c>
      <c r="DE46" s="27">
        <f t="shared" si="51"/>
        <v>0</v>
      </c>
      <c r="DF46" s="27">
        <f t="shared" si="52"/>
        <v>0</v>
      </c>
      <c r="DG46" s="27">
        <f t="shared" si="52"/>
        <v>20000000</v>
      </c>
      <c r="DH46" s="27">
        <f t="shared" si="52"/>
        <v>0</v>
      </c>
      <c r="DI46" s="27"/>
      <c r="DJ46" s="27">
        <f t="shared" si="53"/>
        <v>0</v>
      </c>
      <c r="DK46" s="27">
        <f t="shared" ref="DK46:DK57" si="56">Z46-CO46</f>
        <v>0</v>
      </c>
      <c r="DL46" s="27">
        <f t="shared" si="54"/>
        <v>0</v>
      </c>
      <c r="DN46" s="33">
        <f t="shared" si="19"/>
        <v>20000000</v>
      </c>
      <c r="DO46" s="33">
        <f t="shared" si="20"/>
        <v>20000000</v>
      </c>
      <c r="DP46" s="33">
        <f t="shared" si="21"/>
        <v>20000000</v>
      </c>
    </row>
    <row r="47" spans="1:120" ht="33" customHeight="1" x14ac:dyDescent="0.25">
      <c r="A47" s="236"/>
      <c r="B47" s="231"/>
      <c r="C47" s="23" t="s">
        <v>150</v>
      </c>
      <c r="D47" s="24" t="s">
        <v>151</v>
      </c>
      <c r="E47" s="25">
        <v>410</v>
      </c>
      <c r="F47" s="26" t="s">
        <v>89</v>
      </c>
      <c r="G47" s="27">
        <f t="shared" si="32"/>
        <v>13200000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>
        <v>10000000</v>
      </c>
      <c r="W47" s="27"/>
      <c r="X47" s="27"/>
      <c r="Y47" s="27"/>
      <c r="Z47" s="61"/>
      <c r="AA47" s="61">
        <f>3200000</f>
        <v>3200000</v>
      </c>
      <c r="AC47" s="29">
        <f t="shared" si="1"/>
        <v>0.24087121212121212</v>
      </c>
      <c r="AD47" s="27">
        <f t="shared" si="33"/>
        <v>3179500</v>
      </c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>
        <f>+'[4]ABRIL 2016'!$Y$961</f>
        <v>3179500</v>
      </c>
      <c r="AT47" s="27"/>
      <c r="AU47" s="27"/>
      <c r="AV47" s="27"/>
      <c r="AW47" s="27"/>
      <c r="AX47" s="27"/>
      <c r="AY47" s="29">
        <f t="shared" si="3"/>
        <v>0.7591287878787879</v>
      </c>
      <c r="AZ47" s="27">
        <f t="shared" si="34"/>
        <v>10020500</v>
      </c>
      <c r="BA47" s="27">
        <f t="shared" si="35"/>
        <v>0</v>
      </c>
      <c r="BB47" s="27">
        <f t="shared" si="36"/>
        <v>0</v>
      </c>
      <c r="BC47" s="27">
        <f t="shared" si="36"/>
        <v>0</v>
      </c>
      <c r="BD47" s="27">
        <f t="shared" si="36"/>
        <v>0</v>
      </c>
      <c r="BE47" s="27">
        <f t="shared" si="48"/>
        <v>0</v>
      </c>
      <c r="BF47" s="27">
        <f t="shared" si="48"/>
        <v>0</v>
      </c>
      <c r="BG47" s="27">
        <f t="shared" si="48"/>
        <v>0</v>
      </c>
      <c r="BH47" s="27">
        <f t="shared" si="48"/>
        <v>0</v>
      </c>
      <c r="BI47" s="27">
        <f t="shared" si="48"/>
        <v>0</v>
      </c>
      <c r="BJ47" s="27">
        <f t="shared" si="55"/>
        <v>0</v>
      </c>
      <c r="BK47" s="27">
        <f t="shared" si="48"/>
        <v>0</v>
      </c>
      <c r="BL47" s="27">
        <f t="shared" si="48"/>
        <v>0</v>
      </c>
      <c r="BM47" s="27">
        <f t="shared" si="48"/>
        <v>0</v>
      </c>
      <c r="BN47" s="27"/>
      <c r="BO47" s="27">
        <f t="shared" si="48"/>
        <v>6820500</v>
      </c>
      <c r="BP47" s="27">
        <f t="shared" si="48"/>
        <v>0</v>
      </c>
      <c r="BQ47" s="27"/>
      <c r="BR47" s="27"/>
      <c r="BS47" s="27">
        <f t="shared" si="49"/>
        <v>0</v>
      </c>
      <c r="BT47" s="27">
        <f t="shared" si="50"/>
        <v>3200000</v>
      </c>
      <c r="BU47" s="29">
        <f t="shared" si="10"/>
        <v>0.24087121212121212</v>
      </c>
      <c r="BV47" s="27">
        <f t="shared" si="39"/>
        <v>3179500</v>
      </c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>
        <f>+'[4]ABRIL 2016'!$H$959</f>
        <v>3179500</v>
      </c>
      <c r="CL47" s="27"/>
      <c r="CM47" s="27"/>
      <c r="CN47" s="27"/>
      <c r="CO47" s="27"/>
      <c r="CP47" s="27"/>
      <c r="CQ47" s="29">
        <f t="shared" si="12"/>
        <v>0.7591287878787879</v>
      </c>
      <c r="CR47" s="27">
        <f t="shared" si="40"/>
        <v>10020500</v>
      </c>
      <c r="CS47" s="27">
        <f t="shared" si="41"/>
        <v>0</v>
      </c>
      <c r="CT47" s="27">
        <f t="shared" si="41"/>
        <v>0</v>
      </c>
      <c r="CU47" s="27">
        <f t="shared" si="41"/>
        <v>0</v>
      </c>
      <c r="CV47" s="27">
        <f t="shared" si="41"/>
        <v>0</v>
      </c>
      <c r="CW47" s="27">
        <f t="shared" si="41"/>
        <v>0</v>
      </c>
      <c r="CX47" s="27">
        <f t="shared" si="41"/>
        <v>0</v>
      </c>
      <c r="CY47" s="27">
        <f t="shared" si="41"/>
        <v>0</v>
      </c>
      <c r="CZ47" s="27">
        <f t="shared" si="51"/>
        <v>0</v>
      </c>
      <c r="DA47" s="27">
        <f t="shared" si="51"/>
        <v>0</v>
      </c>
      <c r="DB47" s="27">
        <f t="shared" si="51"/>
        <v>0</v>
      </c>
      <c r="DC47" s="27">
        <f t="shared" si="51"/>
        <v>0</v>
      </c>
      <c r="DD47" s="27">
        <f t="shared" si="51"/>
        <v>0</v>
      </c>
      <c r="DE47" s="27">
        <f t="shared" si="51"/>
        <v>0</v>
      </c>
      <c r="DF47" s="27">
        <f t="shared" si="52"/>
        <v>0</v>
      </c>
      <c r="DG47" s="27">
        <f t="shared" si="52"/>
        <v>6820500</v>
      </c>
      <c r="DH47" s="27">
        <f t="shared" si="52"/>
        <v>0</v>
      </c>
      <c r="DI47" s="27"/>
      <c r="DJ47" s="27">
        <f t="shared" si="53"/>
        <v>0</v>
      </c>
      <c r="DK47" s="27">
        <f t="shared" si="56"/>
        <v>0</v>
      </c>
      <c r="DL47" s="27">
        <f t="shared" si="54"/>
        <v>3200000</v>
      </c>
      <c r="DN47" s="33">
        <f t="shared" si="19"/>
        <v>13200000</v>
      </c>
      <c r="DO47" s="33">
        <f t="shared" si="20"/>
        <v>13200000</v>
      </c>
      <c r="DP47" s="33">
        <f t="shared" si="21"/>
        <v>13200000</v>
      </c>
    </row>
    <row r="48" spans="1:120" ht="24" customHeight="1" x14ac:dyDescent="0.25">
      <c r="A48" s="236" t="s">
        <v>85</v>
      </c>
      <c r="B48" s="229" t="s">
        <v>152</v>
      </c>
      <c r="C48" s="23" t="s">
        <v>153</v>
      </c>
      <c r="D48" s="24" t="s">
        <v>154</v>
      </c>
      <c r="E48" s="25">
        <v>410</v>
      </c>
      <c r="F48" s="26" t="s">
        <v>89</v>
      </c>
      <c r="G48" s="27">
        <f t="shared" si="32"/>
        <v>374741836</v>
      </c>
      <c r="H48" s="27"/>
      <c r="I48" s="27"/>
      <c r="J48" s="27">
        <v>270000000</v>
      </c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61">
        <v>104741836</v>
      </c>
      <c r="AA48" s="61"/>
      <c r="AC48" s="29">
        <f t="shared" si="1"/>
        <v>0.75724210840446438</v>
      </c>
      <c r="AD48" s="27">
        <f t="shared" si="33"/>
        <v>283770298</v>
      </c>
      <c r="AE48" s="27"/>
      <c r="AF48" s="27"/>
      <c r="AG48" s="27">
        <f>+'[5]ENERO 2016'!$M$432</f>
        <v>270000000</v>
      </c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>
        <f>+'[3]MAYO 2016'!$AF$1137</f>
        <v>13770298</v>
      </c>
      <c r="AX48" s="27"/>
      <c r="AY48" s="29">
        <f t="shared" si="3"/>
        <v>0.24275789159553562</v>
      </c>
      <c r="AZ48" s="27">
        <f t="shared" si="34"/>
        <v>90971538</v>
      </c>
      <c r="BA48" s="27">
        <f t="shared" si="35"/>
        <v>0</v>
      </c>
      <c r="BB48" s="27">
        <f t="shared" si="36"/>
        <v>0</v>
      </c>
      <c r="BC48" s="27">
        <f t="shared" si="36"/>
        <v>0</v>
      </c>
      <c r="BD48" s="27">
        <f t="shared" si="36"/>
        <v>0</v>
      </c>
      <c r="BE48" s="27">
        <f t="shared" si="48"/>
        <v>0</v>
      </c>
      <c r="BF48" s="27">
        <f t="shared" si="48"/>
        <v>0</v>
      </c>
      <c r="BG48" s="27">
        <f t="shared" si="48"/>
        <v>0</v>
      </c>
      <c r="BH48" s="27">
        <f t="shared" si="48"/>
        <v>0</v>
      </c>
      <c r="BI48" s="27">
        <f t="shared" si="48"/>
        <v>0</v>
      </c>
      <c r="BJ48" s="27">
        <f t="shared" si="55"/>
        <v>0</v>
      </c>
      <c r="BK48" s="27">
        <f t="shared" si="48"/>
        <v>0</v>
      </c>
      <c r="BL48" s="27">
        <f t="shared" si="48"/>
        <v>0</v>
      </c>
      <c r="BM48" s="27">
        <f t="shared" si="48"/>
        <v>0</v>
      </c>
      <c r="BN48" s="27">
        <f>+U48-AR48</f>
        <v>0</v>
      </c>
      <c r="BO48" s="27">
        <f t="shared" si="48"/>
        <v>0</v>
      </c>
      <c r="BP48" s="27">
        <f t="shared" si="48"/>
        <v>0</v>
      </c>
      <c r="BQ48" s="27"/>
      <c r="BR48" s="27"/>
      <c r="BS48" s="27">
        <f t="shared" si="49"/>
        <v>90971538</v>
      </c>
      <c r="BT48" s="27">
        <f t="shared" si="50"/>
        <v>0</v>
      </c>
      <c r="BU48" s="29">
        <f t="shared" si="10"/>
        <v>0.75724210840446438</v>
      </c>
      <c r="BV48" s="27">
        <f t="shared" si="39"/>
        <v>283770298</v>
      </c>
      <c r="BW48" s="27"/>
      <c r="BX48" s="27"/>
      <c r="BY48" s="27">
        <f>+'[5]ENERO 2016'!$H$430</f>
        <v>270000000</v>
      </c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>
        <f>+'[4]ABRIL 2016'!$H$975+'[3]MAYO 2016'!$AF$1142</f>
        <v>13770298</v>
      </c>
      <c r="CP48" s="27"/>
      <c r="CQ48" s="29">
        <f t="shared" si="12"/>
        <v>0.24275789159553562</v>
      </c>
      <c r="CR48" s="27">
        <f t="shared" si="40"/>
        <v>90971538</v>
      </c>
      <c r="CS48" s="27">
        <f t="shared" si="41"/>
        <v>0</v>
      </c>
      <c r="CT48" s="27">
        <f t="shared" si="41"/>
        <v>0</v>
      </c>
      <c r="CU48" s="27">
        <f t="shared" si="41"/>
        <v>0</v>
      </c>
      <c r="CV48" s="27">
        <f t="shared" si="41"/>
        <v>0</v>
      </c>
      <c r="CW48" s="27">
        <f t="shared" si="41"/>
        <v>0</v>
      </c>
      <c r="CX48" s="27">
        <f t="shared" si="41"/>
        <v>0</v>
      </c>
      <c r="CY48" s="27">
        <f t="shared" si="41"/>
        <v>0</v>
      </c>
      <c r="CZ48" s="27">
        <f t="shared" si="51"/>
        <v>0</v>
      </c>
      <c r="DA48" s="27">
        <f t="shared" si="51"/>
        <v>0</v>
      </c>
      <c r="DB48" s="27">
        <f t="shared" si="51"/>
        <v>0</v>
      </c>
      <c r="DC48" s="27">
        <f t="shared" ref="DC48:DE57" si="57">R48-CG48</f>
        <v>0</v>
      </c>
      <c r="DD48" s="27">
        <f t="shared" si="57"/>
        <v>0</v>
      </c>
      <c r="DE48" s="27">
        <f t="shared" si="57"/>
        <v>0</v>
      </c>
      <c r="DF48" s="27">
        <f t="shared" si="52"/>
        <v>0</v>
      </c>
      <c r="DG48" s="27">
        <f t="shared" si="52"/>
        <v>0</v>
      </c>
      <c r="DH48" s="27">
        <f t="shared" si="52"/>
        <v>0</v>
      </c>
      <c r="DI48" s="27"/>
      <c r="DJ48" s="27">
        <f t="shared" si="53"/>
        <v>0</v>
      </c>
      <c r="DK48" s="27">
        <f t="shared" si="56"/>
        <v>90971538</v>
      </c>
      <c r="DL48" s="27">
        <f t="shared" si="54"/>
        <v>0</v>
      </c>
      <c r="DN48" s="33">
        <f t="shared" si="19"/>
        <v>374741836</v>
      </c>
      <c r="DO48" s="33">
        <f t="shared" si="20"/>
        <v>374741836</v>
      </c>
      <c r="DP48" s="33">
        <f t="shared" si="21"/>
        <v>374741836</v>
      </c>
    </row>
    <row r="49" spans="1:120" s="64" customFormat="1" ht="23.25" customHeight="1" x14ac:dyDescent="0.25">
      <c r="A49" s="236"/>
      <c r="B49" s="231"/>
      <c r="C49" s="62" t="s">
        <v>155</v>
      </c>
      <c r="D49" s="24" t="s">
        <v>156</v>
      </c>
      <c r="E49" s="25">
        <v>410</v>
      </c>
      <c r="F49" s="26" t="s">
        <v>89</v>
      </c>
      <c r="G49" s="27">
        <f t="shared" si="32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7">
        <f t="shared" si="33"/>
        <v>12528000</v>
      </c>
      <c r="AE49" s="61"/>
      <c r="AF49" s="61"/>
      <c r="AG49" s="61">
        <f>+'[4]ABRIL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3"/>
        <v>0.58240000000000003</v>
      </c>
      <c r="AZ49" s="27">
        <f t="shared" si="34"/>
        <v>17472000</v>
      </c>
      <c r="BA49" s="27">
        <f t="shared" si="35"/>
        <v>0</v>
      </c>
      <c r="BB49" s="27">
        <f t="shared" si="36"/>
        <v>0</v>
      </c>
      <c r="BC49" s="27">
        <f t="shared" si="36"/>
        <v>17472000</v>
      </c>
      <c r="BD49" s="27">
        <f t="shared" si="36"/>
        <v>0</v>
      </c>
      <c r="BE49" s="27">
        <f t="shared" si="48"/>
        <v>0</v>
      </c>
      <c r="BF49" s="27">
        <f t="shared" si="48"/>
        <v>0</v>
      </c>
      <c r="BG49" s="27">
        <f t="shared" si="48"/>
        <v>0</v>
      </c>
      <c r="BH49" s="27">
        <f t="shared" si="48"/>
        <v>0</v>
      </c>
      <c r="BI49" s="27">
        <f t="shared" si="48"/>
        <v>0</v>
      </c>
      <c r="BJ49" s="27">
        <f t="shared" si="55"/>
        <v>0</v>
      </c>
      <c r="BK49" s="27">
        <f t="shared" si="48"/>
        <v>0</v>
      </c>
      <c r="BL49" s="27">
        <f t="shared" si="48"/>
        <v>0</v>
      </c>
      <c r="BM49" s="27">
        <f t="shared" si="48"/>
        <v>0</v>
      </c>
      <c r="BN49" s="61"/>
      <c r="BO49" s="27">
        <f t="shared" si="48"/>
        <v>0</v>
      </c>
      <c r="BP49" s="27">
        <f t="shared" si="48"/>
        <v>0</v>
      </c>
      <c r="BQ49" s="27"/>
      <c r="BR49" s="61"/>
      <c r="BS49" s="27">
        <f t="shared" si="49"/>
        <v>0</v>
      </c>
      <c r="BT49" s="61">
        <f t="shared" si="50"/>
        <v>0</v>
      </c>
      <c r="BU49" s="65">
        <f t="shared" si="10"/>
        <v>0.41760000000000003</v>
      </c>
      <c r="BV49" s="27">
        <f t="shared" si="39"/>
        <v>12528000</v>
      </c>
      <c r="BW49" s="61"/>
      <c r="BX49" s="61"/>
      <c r="BY49" s="61">
        <f>+'[4]ABRIL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2"/>
        <v>0.58240000000000003</v>
      </c>
      <c r="CR49" s="27">
        <f t="shared" si="40"/>
        <v>17472000</v>
      </c>
      <c r="CS49" s="27">
        <f t="shared" si="41"/>
        <v>0</v>
      </c>
      <c r="CT49" s="27">
        <f t="shared" si="41"/>
        <v>0</v>
      </c>
      <c r="CU49" s="27">
        <f t="shared" si="41"/>
        <v>17472000</v>
      </c>
      <c r="CV49" s="27">
        <f t="shared" si="41"/>
        <v>0</v>
      </c>
      <c r="CW49" s="27">
        <f t="shared" si="41"/>
        <v>0</v>
      </c>
      <c r="CX49" s="27">
        <f t="shared" si="41"/>
        <v>0</v>
      </c>
      <c r="CY49" s="27">
        <f t="shared" si="41"/>
        <v>0</v>
      </c>
      <c r="CZ49" s="27">
        <f>O49-CD49</f>
        <v>0</v>
      </c>
      <c r="DA49" s="27">
        <f>P49-CE49</f>
        <v>0</v>
      </c>
      <c r="DB49" s="27">
        <f>Q49-CF49</f>
        <v>0</v>
      </c>
      <c r="DC49" s="27">
        <f t="shared" si="57"/>
        <v>0</v>
      </c>
      <c r="DD49" s="27">
        <f t="shared" si="57"/>
        <v>0</v>
      </c>
      <c r="DE49" s="27">
        <f t="shared" si="57"/>
        <v>0</v>
      </c>
      <c r="DF49" s="27">
        <f>U49-CJ49</f>
        <v>0</v>
      </c>
      <c r="DG49" s="27">
        <f>V49-CK49</f>
        <v>0</v>
      </c>
      <c r="DH49" s="27">
        <f>W49-CL49</f>
        <v>0</v>
      </c>
      <c r="DI49" s="27"/>
      <c r="DJ49" s="27">
        <f>Y49-CN49</f>
        <v>0</v>
      </c>
      <c r="DK49" s="27">
        <f t="shared" si="56"/>
        <v>0</v>
      </c>
      <c r="DL49" s="27">
        <f>AA49-CP49</f>
        <v>0</v>
      </c>
      <c r="DN49" s="33">
        <f t="shared" si="19"/>
        <v>30000000</v>
      </c>
      <c r="DO49" s="33">
        <f t="shared" si="20"/>
        <v>30000000</v>
      </c>
      <c r="DP49" s="33">
        <f t="shared" si="21"/>
        <v>30000000</v>
      </c>
    </row>
    <row r="50" spans="1:120" ht="33.75" customHeight="1" x14ac:dyDescent="0.25">
      <c r="A50" s="236"/>
      <c r="B50" s="229" t="s">
        <v>157</v>
      </c>
      <c r="C50" s="23" t="s">
        <v>158</v>
      </c>
      <c r="D50" s="24" t="s">
        <v>159</v>
      </c>
      <c r="E50" s="25">
        <v>410</v>
      </c>
      <c r="F50" s="26" t="s">
        <v>89</v>
      </c>
      <c r="G50" s="27">
        <f t="shared" si="32"/>
        <v>90000000</v>
      </c>
      <c r="H50" s="52"/>
      <c r="I50" s="52"/>
      <c r="J50" s="27">
        <f>21264791</f>
        <v>21264791</v>
      </c>
      <c r="K50" s="27"/>
      <c r="L50" s="52"/>
      <c r="M50" s="39"/>
      <c r="N50" s="39"/>
      <c r="O50" s="39"/>
      <c r="P50" s="27"/>
      <c r="Q50" s="27"/>
      <c r="R50" s="27"/>
      <c r="S50" s="27"/>
      <c r="T50" s="27"/>
      <c r="U50" s="27"/>
      <c r="V50" s="27">
        <f>90000000-21264791</f>
        <v>68735209</v>
      </c>
      <c r="W50" s="27"/>
      <c r="X50" s="27"/>
      <c r="Y50" s="27"/>
      <c r="Z50" s="27"/>
      <c r="AA50" s="27"/>
      <c r="AC50" s="29">
        <f t="shared" si="1"/>
        <v>0.55555555555555558</v>
      </c>
      <c r="AD50" s="27">
        <f t="shared" si="33"/>
        <v>50000000</v>
      </c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>
        <f>+'[5]ENERO 2016'!$Y$447</f>
        <v>50000000</v>
      </c>
      <c r="AT50" s="27"/>
      <c r="AU50" s="27"/>
      <c r="AV50" s="27"/>
      <c r="AW50" s="27"/>
      <c r="AX50" s="27"/>
      <c r="AY50" s="29">
        <f t="shared" si="3"/>
        <v>0.44444444444444442</v>
      </c>
      <c r="AZ50" s="27">
        <f t="shared" si="34"/>
        <v>40000000</v>
      </c>
      <c r="BA50" s="27">
        <f t="shared" si="35"/>
        <v>0</v>
      </c>
      <c r="BB50" s="27">
        <f t="shared" si="36"/>
        <v>0</v>
      </c>
      <c r="BC50" s="27">
        <f t="shared" si="36"/>
        <v>21264791</v>
      </c>
      <c r="BD50" s="27">
        <f t="shared" si="36"/>
        <v>0</v>
      </c>
      <c r="BE50" s="27">
        <f t="shared" si="48"/>
        <v>0</v>
      </c>
      <c r="BF50" s="27">
        <f t="shared" si="48"/>
        <v>0</v>
      </c>
      <c r="BG50" s="27">
        <f t="shared" si="48"/>
        <v>0</v>
      </c>
      <c r="BH50" s="27">
        <f t="shared" si="48"/>
        <v>0</v>
      </c>
      <c r="BI50" s="27">
        <f t="shared" si="48"/>
        <v>0</v>
      </c>
      <c r="BJ50" s="27">
        <f t="shared" si="55"/>
        <v>0</v>
      </c>
      <c r="BK50" s="27">
        <f t="shared" si="48"/>
        <v>0</v>
      </c>
      <c r="BL50" s="27">
        <f t="shared" si="48"/>
        <v>0</v>
      </c>
      <c r="BM50" s="27">
        <f t="shared" si="48"/>
        <v>0</v>
      </c>
      <c r="BN50" s="27">
        <f>+U50-AR50</f>
        <v>0</v>
      </c>
      <c r="BO50" s="27">
        <f t="shared" si="48"/>
        <v>18735209</v>
      </c>
      <c r="BP50" s="27">
        <f t="shared" si="48"/>
        <v>0</v>
      </c>
      <c r="BQ50" s="27"/>
      <c r="BR50" s="27"/>
      <c r="BS50" s="27">
        <f t="shared" si="49"/>
        <v>0</v>
      </c>
      <c r="BT50" s="27">
        <f t="shared" si="50"/>
        <v>0</v>
      </c>
      <c r="BU50" s="29">
        <f t="shared" si="10"/>
        <v>0.51545852222222222</v>
      </c>
      <c r="BV50" s="27">
        <f t="shared" si="39"/>
        <v>46391267</v>
      </c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>
        <f>+'[2]MARZO 2016 ULTIMO'!$H$777</f>
        <v>46391267</v>
      </c>
      <c r="CL50" s="27"/>
      <c r="CM50" s="27"/>
      <c r="CN50" s="27"/>
      <c r="CO50" s="27"/>
      <c r="CP50" s="27"/>
      <c r="CQ50" s="29">
        <f t="shared" si="12"/>
        <v>0.48454147777777778</v>
      </c>
      <c r="CR50" s="27">
        <f t="shared" si="40"/>
        <v>43608733</v>
      </c>
      <c r="CS50" s="27">
        <f t="shared" si="41"/>
        <v>0</v>
      </c>
      <c r="CT50" s="27">
        <f t="shared" si="41"/>
        <v>0</v>
      </c>
      <c r="CU50" s="27">
        <f t="shared" si="41"/>
        <v>21264791</v>
      </c>
      <c r="CV50" s="27">
        <f t="shared" si="41"/>
        <v>0</v>
      </c>
      <c r="CW50" s="27">
        <f t="shared" si="41"/>
        <v>0</v>
      </c>
      <c r="CX50" s="27">
        <f t="shared" si="41"/>
        <v>0</v>
      </c>
      <c r="CY50" s="27">
        <f t="shared" si="41"/>
        <v>0</v>
      </c>
      <c r="CZ50" s="27">
        <f>+O50-CD50</f>
        <v>0</v>
      </c>
      <c r="DA50" s="27">
        <f>+P50-CE50</f>
        <v>0</v>
      </c>
      <c r="DB50" s="27">
        <f>+Q50-CF50</f>
        <v>0</v>
      </c>
      <c r="DC50" s="27">
        <f t="shared" si="57"/>
        <v>0</v>
      </c>
      <c r="DD50" s="27">
        <f t="shared" si="57"/>
        <v>0</v>
      </c>
      <c r="DE50" s="27">
        <f t="shared" si="57"/>
        <v>0</v>
      </c>
      <c r="DF50" s="27">
        <f>+U50-CJ50</f>
        <v>0</v>
      </c>
      <c r="DG50" s="27">
        <f>+V50-CK50</f>
        <v>22343942</v>
      </c>
      <c r="DH50" s="27">
        <f>+W50-CL50</f>
        <v>0</v>
      </c>
      <c r="DI50" s="27"/>
      <c r="DJ50" s="27">
        <f>+Y50-CN50</f>
        <v>0</v>
      </c>
      <c r="DK50" s="27">
        <f t="shared" si="56"/>
        <v>0</v>
      </c>
      <c r="DL50" s="27">
        <f>+AA50-CP50</f>
        <v>0</v>
      </c>
      <c r="DM50" s="50"/>
      <c r="DN50" s="33">
        <f t="shared" si="19"/>
        <v>90000000</v>
      </c>
      <c r="DO50" s="33">
        <f t="shared" si="20"/>
        <v>90000000</v>
      </c>
      <c r="DP50" s="33">
        <f t="shared" si="21"/>
        <v>90000000</v>
      </c>
    </row>
    <row r="51" spans="1:120" ht="21.75" customHeight="1" x14ac:dyDescent="0.25">
      <c r="A51" s="236"/>
      <c r="B51" s="231"/>
      <c r="C51" s="23" t="s">
        <v>160</v>
      </c>
      <c r="D51" s="24" t="s">
        <v>110</v>
      </c>
      <c r="E51" s="25">
        <v>410</v>
      </c>
      <c r="F51" s="26" t="s">
        <v>75</v>
      </c>
      <c r="G51" s="27">
        <f t="shared" si="32"/>
        <v>3000000</v>
      </c>
      <c r="H51" s="52"/>
      <c r="I51" s="52"/>
      <c r="J51" s="27"/>
      <c r="K51" s="27"/>
      <c r="L51" s="52"/>
      <c r="M51" s="39"/>
      <c r="N51" s="39"/>
      <c r="O51" s="39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>
        <v>3000000</v>
      </c>
      <c r="AC51" s="29">
        <f t="shared" si="1"/>
        <v>1</v>
      </c>
      <c r="AD51" s="27">
        <f t="shared" si="33"/>
        <v>3000000</v>
      </c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>
        <f>+'[1]JUNIO 2016'!$AG$1303</f>
        <v>3000000</v>
      </c>
      <c r="AY51" s="29">
        <f t="shared" si="3"/>
        <v>0</v>
      </c>
      <c r="AZ51" s="27">
        <f t="shared" si="34"/>
        <v>0</v>
      </c>
      <c r="BA51" s="27">
        <f t="shared" si="35"/>
        <v>0</v>
      </c>
      <c r="BB51" s="27">
        <f t="shared" si="36"/>
        <v>0</v>
      </c>
      <c r="BC51" s="27">
        <f t="shared" si="36"/>
        <v>0</v>
      </c>
      <c r="BD51" s="27">
        <f t="shared" si="36"/>
        <v>0</v>
      </c>
      <c r="BE51" s="27">
        <f t="shared" si="48"/>
        <v>0</v>
      </c>
      <c r="BF51" s="27">
        <f t="shared" si="48"/>
        <v>0</v>
      </c>
      <c r="BG51" s="27">
        <f t="shared" si="48"/>
        <v>0</v>
      </c>
      <c r="BH51" s="27">
        <f t="shared" si="48"/>
        <v>0</v>
      </c>
      <c r="BI51" s="27">
        <f t="shared" si="48"/>
        <v>0</v>
      </c>
      <c r="BJ51" s="27">
        <f t="shared" si="55"/>
        <v>0</v>
      </c>
      <c r="BK51" s="27">
        <f t="shared" si="48"/>
        <v>0</v>
      </c>
      <c r="BL51" s="27">
        <f t="shared" si="48"/>
        <v>0</v>
      </c>
      <c r="BM51" s="27">
        <f t="shared" si="48"/>
        <v>0</v>
      </c>
      <c r="BN51" s="27"/>
      <c r="BO51" s="27">
        <f t="shared" si="48"/>
        <v>0</v>
      </c>
      <c r="BP51" s="27">
        <f t="shared" si="48"/>
        <v>0</v>
      </c>
      <c r="BQ51" s="27"/>
      <c r="BR51" s="27"/>
      <c r="BS51" s="27">
        <f t="shared" si="49"/>
        <v>0</v>
      </c>
      <c r="BT51" s="27">
        <f t="shared" si="50"/>
        <v>0</v>
      </c>
      <c r="BU51" s="29">
        <f t="shared" si="10"/>
        <v>1</v>
      </c>
      <c r="BV51" s="27">
        <f t="shared" si="39"/>
        <v>3000000</v>
      </c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>
        <f>+'[1]JUNIO 2016'!$AG$1303</f>
        <v>3000000</v>
      </c>
      <c r="CQ51" s="29">
        <f t="shared" si="12"/>
        <v>0</v>
      </c>
      <c r="CR51" s="27">
        <f t="shared" si="40"/>
        <v>0</v>
      </c>
      <c r="CS51" s="27">
        <f t="shared" si="41"/>
        <v>0</v>
      </c>
      <c r="CT51" s="27">
        <f t="shared" si="41"/>
        <v>0</v>
      </c>
      <c r="CU51" s="27">
        <f t="shared" si="41"/>
        <v>0</v>
      </c>
      <c r="CV51" s="27">
        <f t="shared" si="41"/>
        <v>0</v>
      </c>
      <c r="CW51" s="27">
        <f t="shared" si="41"/>
        <v>0</v>
      </c>
      <c r="CX51" s="27">
        <f t="shared" si="41"/>
        <v>0</v>
      </c>
      <c r="CY51" s="27">
        <f t="shared" si="41"/>
        <v>0</v>
      </c>
      <c r="CZ51" s="27">
        <f>O51-CD51</f>
        <v>0</v>
      </c>
      <c r="DA51" s="27">
        <f>P51-CE51</f>
        <v>0</v>
      </c>
      <c r="DB51" s="27">
        <f>Q51-CF51</f>
        <v>0</v>
      </c>
      <c r="DC51" s="27">
        <f t="shared" si="57"/>
        <v>0</v>
      </c>
      <c r="DD51" s="27">
        <f t="shared" si="57"/>
        <v>0</v>
      </c>
      <c r="DE51" s="27">
        <f t="shared" si="57"/>
        <v>0</v>
      </c>
      <c r="DF51" s="27">
        <f>U51-CJ51</f>
        <v>0</v>
      </c>
      <c r="DG51" s="27">
        <f>V51-CK51</f>
        <v>0</v>
      </c>
      <c r="DH51" s="27">
        <f>W51-CL51</f>
        <v>0</v>
      </c>
      <c r="DI51" s="27"/>
      <c r="DJ51" s="27">
        <f>Y51-CN51</f>
        <v>0</v>
      </c>
      <c r="DK51" s="27">
        <f t="shared" si="56"/>
        <v>0</v>
      </c>
      <c r="DL51" s="27">
        <f>AA51-CP51</f>
        <v>0</v>
      </c>
      <c r="DM51" s="50"/>
      <c r="DN51" s="33">
        <f t="shared" si="19"/>
        <v>3000000</v>
      </c>
      <c r="DO51" s="33">
        <f t="shared" si="20"/>
        <v>3000000</v>
      </c>
      <c r="DP51" s="33">
        <f t="shared" si="21"/>
        <v>3000000</v>
      </c>
    </row>
    <row r="52" spans="1:120" ht="47.25" customHeight="1" x14ac:dyDescent="0.25">
      <c r="A52" s="236"/>
      <c r="B52" s="229" t="s">
        <v>161</v>
      </c>
      <c r="C52" s="23" t="s">
        <v>162</v>
      </c>
      <c r="D52" s="24" t="s">
        <v>163</v>
      </c>
      <c r="E52" s="25">
        <v>410</v>
      </c>
      <c r="F52" s="26" t="s">
        <v>164</v>
      </c>
      <c r="G52" s="27">
        <f t="shared" si="32"/>
        <v>42000000</v>
      </c>
      <c r="H52" s="27"/>
      <c r="I52" s="39"/>
      <c r="J52" s="27">
        <v>30000000</v>
      </c>
      <c r="K52" s="27"/>
      <c r="L52" s="39"/>
      <c r="M52" s="39"/>
      <c r="N52" s="39"/>
      <c r="O52" s="39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>
        <f>22000000+5000000-16000000+1000000</f>
        <v>12000000</v>
      </c>
      <c r="AC52" s="29">
        <f t="shared" si="1"/>
        <v>0.80952380952380953</v>
      </c>
      <c r="AD52" s="27">
        <f t="shared" si="33"/>
        <v>34000000</v>
      </c>
      <c r="AE52" s="27"/>
      <c r="AF52" s="27"/>
      <c r="AG52" s="27">
        <v>30000000</v>
      </c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>
        <v>4000000</v>
      </c>
      <c r="AY52" s="29">
        <f t="shared" si="3"/>
        <v>0.19047619047619047</v>
      </c>
      <c r="AZ52" s="27">
        <f t="shared" si="34"/>
        <v>8000000</v>
      </c>
      <c r="BA52" s="27">
        <f t="shared" si="35"/>
        <v>0</v>
      </c>
      <c r="BB52" s="27">
        <f t="shared" si="36"/>
        <v>0</v>
      </c>
      <c r="BC52" s="27">
        <f t="shared" si="36"/>
        <v>0</v>
      </c>
      <c r="BD52" s="27">
        <f t="shared" si="36"/>
        <v>0</v>
      </c>
      <c r="BE52" s="27">
        <f t="shared" si="48"/>
        <v>0</v>
      </c>
      <c r="BF52" s="27">
        <f t="shared" si="48"/>
        <v>0</v>
      </c>
      <c r="BG52" s="27">
        <f t="shared" si="48"/>
        <v>0</v>
      </c>
      <c r="BH52" s="27">
        <f t="shared" si="48"/>
        <v>0</v>
      </c>
      <c r="BI52" s="27">
        <f t="shared" si="48"/>
        <v>0</v>
      </c>
      <c r="BJ52" s="27">
        <f t="shared" si="55"/>
        <v>0</v>
      </c>
      <c r="BK52" s="27">
        <f t="shared" si="48"/>
        <v>0</v>
      </c>
      <c r="BL52" s="27">
        <f t="shared" si="48"/>
        <v>0</v>
      </c>
      <c r="BM52" s="27">
        <f t="shared" si="48"/>
        <v>0</v>
      </c>
      <c r="BN52" s="27">
        <f t="shared" si="48"/>
        <v>0</v>
      </c>
      <c r="BO52" s="27">
        <f t="shared" si="48"/>
        <v>0</v>
      </c>
      <c r="BP52" s="27">
        <f t="shared" si="48"/>
        <v>0</v>
      </c>
      <c r="BQ52" s="27"/>
      <c r="BR52" s="27"/>
      <c r="BS52" s="27">
        <f t="shared" si="49"/>
        <v>0</v>
      </c>
      <c r="BT52" s="27">
        <f t="shared" si="50"/>
        <v>8000000</v>
      </c>
      <c r="BU52" s="29">
        <f t="shared" si="10"/>
        <v>0.80952380952380953</v>
      </c>
      <c r="BV52" s="27">
        <f t="shared" si="39"/>
        <v>34000000</v>
      </c>
      <c r="BW52" s="27"/>
      <c r="BX52" s="27"/>
      <c r="BY52" s="27">
        <f>+'[1]JUNIO 2016'!$H$1317</f>
        <v>30000000</v>
      </c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>
        <v>4000000</v>
      </c>
      <c r="CQ52" s="29">
        <f t="shared" si="12"/>
        <v>0.19047619047619047</v>
      </c>
      <c r="CR52" s="27">
        <f t="shared" si="40"/>
        <v>8000000</v>
      </c>
      <c r="CS52" s="27">
        <f t="shared" si="41"/>
        <v>0</v>
      </c>
      <c r="CT52" s="27">
        <f t="shared" si="41"/>
        <v>0</v>
      </c>
      <c r="CU52" s="27">
        <f t="shared" si="41"/>
        <v>0</v>
      </c>
      <c r="CV52" s="27">
        <f t="shared" si="41"/>
        <v>0</v>
      </c>
      <c r="CW52" s="27">
        <f t="shared" si="41"/>
        <v>0</v>
      </c>
      <c r="CX52" s="27">
        <f t="shared" si="41"/>
        <v>0</v>
      </c>
      <c r="CY52" s="27">
        <f t="shared" si="41"/>
        <v>0</v>
      </c>
      <c r="CZ52" s="27">
        <f t="shared" ref="CZ52:DA57" si="58">+O52-CD52</f>
        <v>0</v>
      </c>
      <c r="DA52" s="27">
        <f t="shared" si="58"/>
        <v>0</v>
      </c>
      <c r="DB52" s="27">
        <f t="shared" ref="DB52:DB57" si="59">Q52-CF52</f>
        <v>0</v>
      </c>
      <c r="DC52" s="27">
        <f t="shared" si="57"/>
        <v>0</v>
      </c>
      <c r="DD52" s="27">
        <f t="shared" si="57"/>
        <v>0</v>
      </c>
      <c r="DE52" s="27">
        <f t="shared" si="57"/>
        <v>0</v>
      </c>
      <c r="DF52" s="27">
        <f t="shared" ref="DF52:DH57" si="60">+U52-CJ52</f>
        <v>0</v>
      </c>
      <c r="DG52" s="27">
        <f t="shared" si="60"/>
        <v>0</v>
      </c>
      <c r="DH52" s="27">
        <f t="shared" si="60"/>
        <v>0</v>
      </c>
      <c r="DI52" s="27"/>
      <c r="DJ52" s="27">
        <f t="shared" ref="DJ52:DJ57" si="61">+Y52-CN52</f>
        <v>0</v>
      </c>
      <c r="DK52" s="27">
        <f t="shared" si="56"/>
        <v>0</v>
      </c>
      <c r="DL52" s="27">
        <f t="shared" ref="DL52:DL57" si="62">+AA52-CP52</f>
        <v>8000000</v>
      </c>
      <c r="DN52" s="33">
        <f t="shared" si="19"/>
        <v>42000000</v>
      </c>
      <c r="DO52" s="33">
        <f t="shared" si="20"/>
        <v>42000000</v>
      </c>
      <c r="DP52" s="33">
        <f t="shared" si="21"/>
        <v>42000000</v>
      </c>
    </row>
    <row r="53" spans="1:120" ht="24.75" customHeight="1" x14ac:dyDescent="0.25">
      <c r="A53" s="236"/>
      <c r="B53" s="230"/>
      <c r="C53" s="23" t="s">
        <v>165</v>
      </c>
      <c r="D53" s="24" t="s">
        <v>365</v>
      </c>
      <c r="E53" s="25">
        <v>410</v>
      </c>
      <c r="F53" s="26" t="s">
        <v>89</v>
      </c>
      <c r="G53" s="27">
        <f t="shared" si="32"/>
        <v>10000000</v>
      </c>
      <c r="H53" s="27"/>
      <c r="I53" s="39"/>
      <c r="J53" s="27"/>
      <c r="K53" s="27"/>
      <c r="L53" s="39"/>
      <c r="M53" s="39"/>
      <c r="N53" s="39"/>
      <c r="O53" s="39"/>
      <c r="P53" s="27"/>
      <c r="Q53" s="27"/>
      <c r="R53" s="27"/>
      <c r="S53" s="27"/>
      <c r="T53" s="27"/>
      <c r="U53" s="27"/>
      <c r="V53" s="27">
        <v>10000000</v>
      </c>
      <c r="W53" s="27"/>
      <c r="X53" s="27"/>
      <c r="Y53" s="27"/>
      <c r="Z53" s="27"/>
      <c r="AA53" s="27"/>
      <c r="AC53" s="29">
        <f t="shared" si="1"/>
        <v>1</v>
      </c>
      <c r="AD53" s="27">
        <f t="shared" si="33"/>
        <v>10000000</v>
      </c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>
        <v>10000000</v>
      </c>
      <c r="AT53" s="27"/>
      <c r="AU53" s="27"/>
      <c r="AV53" s="27"/>
      <c r="AW53" s="27"/>
      <c r="AX53" s="27"/>
      <c r="AY53" s="29">
        <f t="shared" si="3"/>
        <v>0</v>
      </c>
      <c r="AZ53" s="27">
        <f t="shared" si="34"/>
        <v>0</v>
      </c>
      <c r="BA53" s="27">
        <f t="shared" si="35"/>
        <v>0</v>
      </c>
      <c r="BB53" s="27">
        <f t="shared" si="36"/>
        <v>0</v>
      </c>
      <c r="BC53" s="27">
        <f t="shared" si="36"/>
        <v>0</v>
      </c>
      <c r="BD53" s="27">
        <f t="shared" si="36"/>
        <v>0</v>
      </c>
      <c r="BE53" s="27">
        <f t="shared" ref="BE53:BI57" si="63">+L53-AI53</f>
        <v>0</v>
      </c>
      <c r="BF53" s="27">
        <f t="shared" si="63"/>
        <v>0</v>
      </c>
      <c r="BG53" s="27">
        <f t="shared" si="63"/>
        <v>0</v>
      </c>
      <c r="BH53" s="27">
        <f t="shared" si="63"/>
        <v>0</v>
      </c>
      <c r="BI53" s="27">
        <f t="shared" si="63"/>
        <v>0</v>
      </c>
      <c r="BJ53" s="27">
        <f t="shared" si="55"/>
        <v>0</v>
      </c>
      <c r="BK53" s="27">
        <f t="shared" ref="BK53:BP57" si="64">+R53-AO53</f>
        <v>0</v>
      </c>
      <c r="BL53" s="27">
        <f t="shared" si="64"/>
        <v>0</v>
      </c>
      <c r="BM53" s="27">
        <f t="shared" si="64"/>
        <v>0</v>
      </c>
      <c r="BN53" s="27">
        <f t="shared" si="64"/>
        <v>0</v>
      </c>
      <c r="BO53" s="27">
        <f t="shared" si="64"/>
        <v>0</v>
      </c>
      <c r="BP53" s="27">
        <f t="shared" si="64"/>
        <v>0</v>
      </c>
      <c r="BQ53" s="27"/>
      <c r="BR53" s="27"/>
      <c r="BS53" s="27">
        <f t="shared" si="49"/>
        <v>0</v>
      </c>
      <c r="BT53" s="27">
        <f t="shared" si="50"/>
        <v>0</v>
      </c>
      <c r="BU53" s="29">
        <f t="shared" si="10"/>
        <v>0.9553836</v>
      </c>
      <c r="BV53" s="27">
        <f t="shared" si="39"/>
        <v>9553836</v>
      </c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>
        <f>+'[6]FEBRERO 2016'!$H$621</f>
        <v>9553836</v>
      </c>
      <c r="CL53" s="27"/>
      <c r="CM53" s="27"/>
      <c r="CN53" s="27"/>
      <c r="CO53" s="27"/>
      <c r="CP53" s="27"/>
      <c r="CQ53" s="29">
        <f t="shared" si="12"/>
        <v>4.4616400000000001E-2</v>
      </c>
      <c r="CR53" s="27">
        <f t="shared" si="40"/>
        <v>446164</v>
      </c>
      <c r="CS53" s="27">
        <f t="shared" si="41"/>
        <v>0</v>
      </c>
      <c r="CT53" s="27">
        <f t="shared" si="41"/>
        <v>0</v>
      </c>
      <c r="CU53" s="27">
        <f t="shared" si="41"/>
        <v>0</v>
      </c>
      <c r="CV53" s="27">
        <f t="shared" si="41"/>
        <v>0</v>
      </c>
      <c r="CW53" s="27">
        <f t="shared" si="41"/>
        <v>0</v>
      </c>
      <c r="CX53" s="27">
        <f t="shared" si="41"/>
        <v>0</v>
      </c>
      <c r="CY53" s="27">
        <f t="shared" si="41"/>
        <v>0</v>
      </c>
      <c r="CZ53" s="27">
        <f t="shared" si="58"/>
        <v>0</v>
      </c>
      <c r="DA53" s="27">
        <f t="shared" si="58"/>
        <v>0</v>
      </c>
      <c r="DB53" s="27">
        <f t="shared" si="59"/>
        <v>0</v>
      </c>
      <c r="DC53" s="27">
        <f t="shared" si="57"/>
        <v>0</v>
      </c>
      <c r="DD53" s="27">
        <f t="shared" si="57"/>
        <v>0</v>
      </c>
      <c r="DE53" s="27">
        <f t="shared" si="57"/>
        <v>0</v>
      </c>
      <c r="DF53" s="27">
        <f t="shared" si="60"/>
        <v>0</v>
      </c>
      <c r="DG53" s="27">
        <f t="shared" si="60"/>
        <v>446164</v>
      </c>
      <c r="DH53" s="27">
        <f t="shared" si="60"/>
        <v>0</v>
      </c>
      <c r="DI53" s="27"/>
      <c r="DJ53" s="27">
        <f t="shared" si="61"/>
        <v>0</v>
      </c>
      <c r="DK53" s="27">
        <f t="shared" si="56"/>
        <v>0</v>
      </c>
      <c r="DL53" s="27">
        <f t="shared" si="62"/>
        <v>0</v>
      </c>
      <c r="DN53" s="33">
        <f t="shared" si="19"/>
        <v>10000000</v>
      </c>
      <c r="DO53" s="33">
        <f t="shared" si="20"/>
        <v>10000000</v>
      </c>
      <c r="DP53" s="33">
        <f t="shared" si="21"/>
        <v>10000000</v>
      </c>
    </row>
    <row r="54" spans="1:120" ht="31.5" customHeight="1" x14ac:dyDescent="0.25">
      <c r="A54" s="236"/>
      <c r="B54" s="230"/>
      <c r="C54" s="23" t="s">
        <v>166</v>
      </c>
      <c r="D54" s="24" t="s">
        <v>167</v>
      </c>
      <c r="E54" s="25">
        <v>410</v>
      </c>
      <c r="F54" s="26" t="s">
        <v>89</v>
      </c>
      <c r="G54" s="27">
        <f t="shared" si="32"/>
        <v>30000000</v>
      </c>
      <c r="H54" s="27"/>
      <c r="I54" s="39"/>
      <c r="J54" s="27">
        <f>11831904</f>
        <v>11831904</v>
      </c>
      <c r="K54" s="27"/>
      <c r="L54" s="39"/>
      <c r="M54" s="39"/>
      <c r="N54" s="39"/>
      <c r="O54" s="39"/>
      <c r="P54" s="27"/>
      <c r="Q54" s="27"/>
      <c r="R54" s="27"/>
      <c r="S54" s="27"/>
      <c r="T54" s="27"/>
      <c r="U54" s="27"/>
      <c r="V54" s="27">
        <v>18168096</v>
      </c>
      <c r="W54" s="27"/>
      <c r="X54" s="27"/>
      <c r="Y54" s="27"/>
      <c r="Z54" s="27"/>
      <c r="AA54" s="27"/>
      <c r="AC54" s="29">
        <f t="shared" si="1"/>
        <v>1</v>
      </c>
      <c r="AD54" s="27">
        <f t="shared" si="33"/>
        <v>30000000</v>
      </c>
      <c r="AE54" s="27"/>
      <c r="AF54" s="27"/>
      <c r="AG54" s="27">
        <f>+'[2]MARZO 2016 ULTIMO'!$M$817</f>
        <v>11831904</v>
      </c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>
        <v>18168096</v>
      </c>
      <c r="AT54" s="27"/>
      <c r="AU54" s="27"/>
      <c r="AV54" s="27"/>
      <c r="AW54" s="27"/>
      <c r="AX54" s="27"/>
      <c r="AY54" s="29">
        <f t="shared" si="3"/>
        <v>0</v>
      </c>
      <c r="AZ54" s="27">
        <f t="shared" si="34"/>
        <v>0</v>
      </c>
      <c r="BA54" s="27">
        <f t="shared" si="35"/>
        <v>0</v>
      </c>
      <c r="BB54" s="27">
        <f t="shared" si="36"/>
        <v>0</v>
      </c>
      <c r="BC54" s="27">
        <f t="shared" si="36"/>
        <v>0</v>
      </c>
      <c r="BD54" s="27">
        <f t="shared" si="36"/>
        <v>0</v>
      </c>
      <c r="BE54" s="27">
        <f t="shared" si="63"/>
        <v>0</v>
      </c>
      <c r="BF54" s="27">
        <f t="shared" si="63"/>
        <v>0</v>
      </c>
      <c r="BG54" s="27">
        <f t="shared" si="63"/>
        <v>0</v>
      </c>
      <c r="BH54" s="27">
        <f t="shared" si="63"/>
        <v>0</v>
      </c>
      <c r="BI54" s="27">
        <f t="shared" si="63"/>
        <v>0</v>
      </c>
      <c r="BJ54" s="27">
        <f t="shared" si="55"/>
        <v>0</v>
      </c>
      <c r="BK54" s="27">
        <f t="shared" si="64"/>
        <v>0</v>
      </c>
      <c r="BL54" s="27">
        <f t="shared" si="64"/>
        <v>0</v>
      </c>
      <c r="BM54" s="27">
        <f t="shared" si="64"/>
        <v>0</v>
      </c>
      <c r="BN54" s="27">
        <f t="shared" si="64"/>
        <v>0</v>
      </c>
      <c r="BO54" s="27">
        <f t="shared" si="64"/>
        <v>0</v>
      </c>
      <c r="BP54" s="27">
        <f t="shared" si="64"/>
        <v>0</v>
      </c>
      <c r="BQ54" s="27"/>
      <c r="BR54" s="27"/>
      <c r="BS54" s="27">
        <f t="shared" si="49"/>
        <v>0</v>
      </c>
      <c r="BT54" s="27">
        <f t="shared" si="50"/>
        <v>0</v>
      </c>
      <c r="BU54" s="29">
        <f t="shared" si="10"/>
        <v>0.87308026666666672</v>
      </c>
      <c r="BV54" s="27">
        <f t="shared" si="39"/>
        <v>26192408</v>
      </c>
      <c r="BW54" s="27"/>
      <c r="BX54" s="27"/>
      <c r="BY54" s="27">
        <f>+'[1]JUNIO 2016'!$H$1385</f>
        <v>8024312</v>
      </c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>
        <f>+'[6]FEBRERO 2016'!$H$635</f>
        <v>18168096</v>
      </c>
      <c r="CL54" s="27"/>
      <c r="CM54" s="27"/>
      <c r="CN54" s="27"/>
      <c r="CO54" s="27"/>
      <c r="CP54" s="27"/>
      <c r="CQ54" s="29">
        <f t="shared" si="12"/>
        <v>0.12691973333333328</v>
      </c>
      <c r="CR54" s="27">
        <f t="shared" si="40"/>
        <v>3807592</v>
      </c>
      <c r="CS54" s="27">
        <f t="shared" si="41"/>
        <v>0</v>
      </c>
      <c r="CT54" s="27">
        <f t="shared" si="41"/>
        <v>0</v>
      </c>
      <c r="CU54" s="27">
        <f t="shared" si="41"/>
        <v>3807592</v>
      </c>
      <c r="CV54" s="27">
        <f t="shared" si="41"/>
        <v>0</v>
      </c>
      <c r="CW54" s="27">
        <f t="shared" si="41"/>
        <v>0</v>
      </c>
      <c r="CX54" s="27">
        <f t="shared" si="41"/>
        <v>0</v>
      </c>
      <c r="CY54" s="27">
        <f t="shared" si="41"/>
        <v>0</v>
      </c>
      <c r="CZ54" s="27">
        <f t="shared" si="58"/>
        <v>0</v>
      </c>
      <c r="DA54" s="27">
        <f t="shared" si="58"/>
        <v>0</v>
      </c>
      <c r="DB54" s="27">
        <f t="shared" si="59"/>
        <v>0</v>
      </c>
      <c r="DC54" s="27">
        <f t="shared" si="57"/>
        <v>0</v>
      </c>
      <c r="DD54" s="27">
        <f t="shared" si="57"/>
        <v>0</v>
      </c>
      <c r="DE54" s="27">
        <f t="shared" si="57"/>
        <v>0</v>
      </c>
      <c r="DF54" s="27">
        <f t="shared" si="60"/>
        <v>0</v>
      </c>
      <c r="DG54" s="27">
        <f t="shared" si="60"/>
        <v>0</v>
      </c>
      <c r="DH54" s="27">
        <f t="shared" si="60"/>
        <v>0</v>
      </c>
      <c r="DI54" s="27"/>
      <c r="DJ54" s="27">
        <f t="shared" si="61"/>
        <v>0</v>
      </c>
      <c r="DK54" s="27">
        <f t="shared" si="56"/>
        <v>0</v>
      </c>
      <c r="DL54" s="27">
        <f t="shared" si="62"/>
        <v>0</v>
      </c>
      <c r="DN54" s="33">
        <f t="shared" si="19"/>
        <v>30000000</v>
      </c>
      <c r="DO54" s="33">
        <f t="shared" si="20"/>
        <v>30000000</v>
      </c>
      <c r="DP54" s="33">
        <f t="shared" si="21"/>
        <v>30000000</v>
      </c>
    </row>
    <row r="55" spans="1:120" ht="19.5" customHeight="1" x14ac:dyDescent="0.25">
      <c r="A55" s="236"/>
      <c r="B55" s="230"/>
      <c r="C55" s="23" t="s">
        <v>168</v>
      </c>
      <c r="D55" s="24" t="s">
        <v>169</v>
      </c>
      <c r="E55" s="25">
        <v>410</v>
      </c>
      <c r="F55" s="26" t="s">
        <v>89</v>
      </c>
      <c r="G55" s="27">
        <f t="shared" si="32"/>
        <v>10000000</v>
      </c>
      <c r="H55" s="27"/>
      <c r="I55" s="39"/>
      <c r="J55" s="39"/>
      <c r="K55" s="39"/>
      <c r="L55" s="39"/>
      <c r="M55" s="39"/>
      <c r="N55" s="39"/>
      <c r="O55" s="39"/>
      <c r="P55" s="27"/>
      <c r="Q55" s="27"/>
      <c r="R55" s="27"/>
      <c r="S55" s="27"/>
      <c r="T55" s="27"/>
      <c r="U55" s="27"/>
      <c r="V55" s="27">
        <v>10000000</v>
      </c>
      <c r="W55" s="27"/>
      <c r="X55" s="27"/>
      <c r="Y55" s="27"/>
      <c r="Z55" s="27"/>
      <c r="AA55" s="27"/>
      <c r="AC55" s="29">
        <f t="shared" si="1"/>
        <v>1</v>
      </c>
      <c r="AD55" s="27">
        <f t="shared" si="33"/>
        <v>10000000</v>
      </c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>
        <f>+'[5]ENERO 2016'!$Y$478</f>
        <v>10000000</v>
      </c>
      <c r="AT55" s="27"/>
      <c r="AU55" s="27"/>
      <c r="AV55" s="27"/>
      <c r="AW55" s="27"/>
      <c r="AX55" s="27"/>
      <c r="AY55" s="29">
        <f t="shared" si="3"/>
        <v>0</v>
      </c>
      <c r="AZ55" s="27">
        <f t="shared" si="34"/>
        <v>0</v>
      </c>
      <c r="BA55" s="27">
        <f t="shared" si="35"/>
        <v>0</v>
      </c>
      <c r="BB55" s="27">
        <f t="shared" si="36"/>
        <v>0</v>
      </c>
      <c r="BC55" s="27">
        <f t="shared" si="36"/>
        <v>0</v>
      </c>
      <c r="BD55" s="27">
        <f t="shared" si="36"/>
        <v>0</v>
      </c>
      <c r="BE55" s="27">
        <f t="shared" si="63"/>
        <v>0</v>
      </c>
      <c r="BF55" s="27">
        <f t="shared" si="63"/>
        <v>0</v>
      </c>
      <c r="BG55" s="27">
        <f t="shared" si="63"/>
        <v>0</v>
      </c>
      <c r="BH55" s="27">
        <f t="shared" si="63"/>
        <v>0</v>
      </c>
      <c r="BI55" s="27">
        <f t="shared" si="63"/>
        <v>0</v>
      </c>
      <c r="BJ55" s="27">
        <f t="shared" si="55"/>
        <v>0</v>
      </c>
      <c r="BK55" s="27">
        <f t="shared" si="64"/>
        <v>0</v>
      </c>
      <c r="BL55" s="27">
        <f t="shared" si="64"/>
        <v>0</v>
      </c>
      <c r="BM55" s="27">
        <f t="shared" si="64"/>
        <v>0</v>
      </c>
      <c r="BN55" s="27">
        <f t="shared" si="64"/>
        <v>0</v>
      </c>
      <c r="BO55" s="27">
        <f t="shared" si="64"/>
        <v>0</v>
      </c>
      <c r="BP55" s="27">
        <f t="shared" si="64"/>
        <v>0</v>
      </c>
      <c r="BQ55" s="27"/>
      <c r="BR55" s="27"/>
      <c r="BS55" s="27">
        <f t="shared" si="49"/>
        <v>0</v>
      </c>
      <c r="BT55" s="27">
        <f t="shared" si="50"/>
        <v>0</v>
      </c>
      <c r="BU55" s="29">
        <f t="shared" si="10"/>
        <v>1</v>
      </c>
      <c r="BV55" s="27">
        <f t="shared" si="39"/>
        <v>10000000</v>
      </c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>
        <v>10000000</v>
      </c>
      <c r="CL55" s="27"/>
      <c r="CM55" s="27"/>
      <c r="CN55" s="27"/>
      <c r="CO55" s="27"/>
      <c r="CP55" s="27"/>
      <c r="CQ55" s="29">
        <f t="shared" si="12"/>
        <v>0</v>
      </c>
      <c r="CR55" s="27">
        <f t="shared" si="40"/>
        <v>0</v>
      </c>
      <c r="CS55" s="27">
        <f t="shared" si="41"/>
        <v>0</v>
      </c>
      <c r="CT55" s="27">
        <f t="shared" si="41"/>
        <v>0</v>
      </c>
      <c r="CU55" s="27">
        <f t="shared" si="41"/>
        <v>0</v>
      </c>
      <c r="CV55" s="27">
        <f t="shared" si="41"/>
        <v>0</v>
      </c>
      <c r="CW55" s="27">
        <f t="shared" si="41"/>
        <v>0</v>
      </c>
      <c r="CX55" s="27">
        <f t="shared" si="41"/>
        <v>0</v>
      </c>
      <c r="CY55" s="27">
        <f t="shared" si="41"/>
        <v>0</v>
      </c>
      <c r="CZ55" s="27">
        <f t="shared" si="58"/>
        <v>0</v>
      </c>
      <c r="DA55" s="27">
        <f t="shared" si="58"/>
        <v>0</v>
      </c>
      <c r="DB55" s="27">
        <f t="shared" si="59"/>
        <v>0</v>
      </c>
      <c r="DC55" s="27">
        <f t="shared" si="57"/>
        <v>0</v>
      </c>
      <c r="DD55" s="27">
        <f t="shared" si="57"/>
        <v>0</v>
      </c>
      <c r="DE55" s="27">
        <f t="shared" si="57"/>
        <v>0</v>
      </c>
      <c r="DF55" s="27">
        <f t="shared" si="60"/>
        <v>0</v>
      </c>
      <c r="DG55" s="27">
        <f t="shared" si="60"/>
        <v>0</v>
      </c>
      <c r="DH55" s="27">
        <f t="shared" si="60"/>
        <v>0</v>
      </c>
      <c r="DI55" s="27"/>
      <c r="DJ55" s="27">
        <f t="shared" si="61"/>
        <v>0</v>
      </c>
      <c r="DK55" s="27">
        <f t="shared" si="56"/>
        <v>0</v>
      </c>
      <c r="DL55" s="27">
        <f t="shared" si="62"/>
        <v>0</v>
      </c>
      <c r="DN55" s="33">
        <f t="shared" si="19"/>
        <v>10000000</v>
      </c>
      <c r="DO55" s="33">
        <f t="shared" si="20"/>
        <v>10000000</v>
      </c>
      <c r="DP55" s="33">
        <f t="shared" si="21"/>
        <v>10000000</v>
      </c>
    </row>
    <row r="56" spans="1:120" ht="24.75" customHeight="1" x14ac:dyDescent="0.25">
      <c r="A56" s="236"/>
      <c r="B56" s="230"/>
      <c r="C56" s="23" t="s">
        <v>170</v>
      </c>
      <c r="D56" s="24" t="s">
        <v>171</v>
      </c>
      <c r="E56" s="25">
        <v>410</v>
      </c>
      <c r="F56" s="26" t="s">
        <v>89</v>
      </c>
      <c r="G56" s="27">
        <f t="shared" si="32"/>
        <v>94368590</v>
      </c>
      <c r="H56" s="27"/>
      <c r="I56" s="39"/>
      <c r="J56" s="39"/>
      <c r="K56" s="39"/>
      <c r="L56" s="39"/>
      <c r="M56" s="39">
        <f>74368590</f>
        <v>74368590</v>
      </c>
      <c r="N56" s="39"/>
      <c r="O56" s="39"/>
      <c r="P56" s="27"/>
      <c r="Q56" s="27"/>
      <c r="R56" s="27"/>
      <c r="S56" s="27"/>
      <c r="T56" s="27"/>
      <c r="U56" s="27"/>
      <c r="V56" s="27">
        <v>20000000</v>
      </c>
      <c r="W56" s="27"/>
      <c r="X56" s="27"/>
      <c r="Y56" s="27"/>
      <c r="Z56" s="27"/>
      <c r="AA56" s="27"/>
      <c r="AC56" s="29">
        <f t="shared" si="1"/>
        <v>0.19263147833405161</v>
      </c>
      <c r="AD56" s="27">
        <f t="shared" si="33"/>
        <v>18178361</v>
      </c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>
        <f>+'[1]JUNIO 2016'!$Y$1439</f>
        <v>18178361</v>
      </c>
      <c r="AT56" s="27"/>
      <c r="AU56" s="27"/>
      <c r="AV56" s="27"/>
      <c r="AW56" s="27"/>
      <c r="AX56" s="27"/>
      <c r="AY56" s="29">
        <f t="shared" si="3"/>
        <v>0.80736852166594841</v>
      </c>
      <c r="AZ56" s="27">
        <f t="shared" si="34"/>
        <v>76190229</v>
      </c>
      <c r="BA56" s="27">
        <f t="shared" si="35"/>
        <v>0</v>
      </c>
      <c r="BB56" s="27">
        <f t="shared" si="36"/>
        <v>0</v>
      </c>
      <c r="BC56" s="27">
        <f t="shared" si="36"/>
        <v>0</v>
      </c>
      <c r="BD56" s="27">
        <f t="shared" si="36"/>
        <v>0</v>
      </c>
      <c r="BE56" s="27">
        <f t="shared" si="63"/>
        <v>0</v>
      </c>
      <c r="BF56" s="27">
        <f t="shared" si="63"/>
        <v>74368590</v>
      </c>
      <c r="BG56" s="27">
        <f t="shared" si="63"/>
        <v>0</v>
      </c>
      <c r="BH56" s="27">
        <f t="shared" si="63"/>
        <v>0</v>
      </c>
      <c r="BI56" s="27">
        <f t="shared" si="63"/>
        <v>0</v>
      </c>
      <c r="BJ56" s="27">
        <f t="shared" si="55"/>
        <v>0</v>
      </c>
      <c r="BK56" s="27">
        <f t="shared" si="64"/>
        <v>0</v>
      </c>
      <c r="BL56" s="27">
        <f t="shared" si="64"/>
        <v>0</v>
      </c>
      <c r="BM56" s="27">
        <f t="shared" si="64"/>
        <v>0</v>
      </c>
      <c r="BN56" s="27">
        <f t="shared" si="64"/>
        <v>0</v>
      </c>
      <c r="BO56" s="27">
        <f t="shared" si="64"/>
        <v>1821639</v>
      </c>
      <c r="BP56" s="27">
        <f t="shared" si="64"/>
        <v>0</v>
      </c>
      <c r="BQ56" s="27"/>
      <c r="BR56" s="27"/>
      <c r="BS56" s="27">
        <f t="shared" si="49"/>
        <v>0</v>
      </c>
      <c r="BT56" s="27">
        <f t="shared" si="50"/>
        <v>0</v>
      </c>
      <c r="BU56" s="29">
        <f t="shared" si="10"/>
        <v>0.1452287037456001</v>
      </c>
      <c r="BV56" s="27">
        <f t="shared" si="39"/>
        <v>13705028</v>
      </c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>
        <f>+'[1]JUNIO 2016'!$H$1437</f>
        <v>13705028</v>
      </c>
      <c r="CL56" s="27"/>
      <c r="CM56" s="27"/>
      <c r="CN56" s="27"/>
      <c r="CO56" s="27"/>
      <c r="CP56" s="27"/>
      <c r="CQ56" s="29">
        <f t="shared" si="12"/>
        <v>0.85477129625439985</v>
      </c>
      <c r="CR56" s="27">
        <f t="shared" si="40"/>
        <v>80663562</v>
      </c>
      <c r="CS56" s="27">
        <f t="shared" si="41"/>
        <v>0</v>
      </c>
      <c r="CT56" s="27">
        <f t="shared" si="41"/>
        <v>0</v>
      </c>
      <c r="CU56" s="27">
        <f t="shared" si="41"/>
        <v>0</v>
      </c>
      <c r="CV56" s="27">
        <f t="shared" si="41"/>
        <v>0</v>
      </c>
      <c r="CW56" s="27">
        <f t="shared" si="41"/>
        <v>0</v>
      </c>
      <c r="CX56" s="27">
        <f t="shared" si="41"/>
        <v>74368590</v>
      </c>
      <c r="CY56" s="27">
        <f t="shared" si="41"/>
        <v>0</v>
      </c>
      <c r="CZ56" s="27">
        <f t="shared" si="58"/>
        <v>0</v>
      </c>
      <c r="DA56" s="27">
        <f t="shared" si="58"/>
        <v>0</v>
      </c>
      <c r="DB56" s="27">
        <f t="shared" si="59"/>
        <v>0</v>
      </c>
      <c r="DC56" s="27">
        <f t="shared" si="57"/>
        <v>0</v>
      </c>
      <c r="DD56" s="27">
        <f t="shared" si="57"/>
        <v>0</v>
      </c>
      <c r="DE56" s="27">
        <f t="shared" si="57"/>
        <v>0</v>
      </c>
      <c r="DF56" s="27">
        <f t="shared" si="60"/>
        <v>0</v>
      </c>
      <c r="DG56" s="27">
        <f t="shared" si="60"/>
        <v>6294972</v>
      </c>
      <c r="DH56" s="27">
        <f t="shared" si="60"/>
        <v>0</v>
      </c>
      <c r="DI56" s="27"/>
      <c r="DJ56" s="27">
        <f t="shared" si="61"/>
        <v>0</v>
      </c>
      <c r="DK56" s="27">
        <f t="shared" si="56"/>
        <v>0</v>
      </c>
      <c r="DL56" s="27">
        <f t="shared" si="62"/>
        <v>0</v>
      </c>
      <c r="DN56" s="33">
        <f t="shared" si="19"/>
        <v>94368590</v>
      </c>
      <c r="DO56" s="33">
        <f t="shared" si="20"/>
        <v>94368590</v>
      </c>
      <c r="DP56" s="33">
        <f t="shared" si="21"/>
        <v>94368590</v>
      </c>
    </row>
    <row r="57" spans="1:120" ht="32.25" customHeight="1" x14ac:dyDescent="0.25">
      <c r="A57" s="237"/>
      <c r="B57" s="231"/>
      <c r="C57" s="23" t="s">
        <v>172</v>
      </c>
      <c r="D57" s="24" t="s">
        <v>173</v>
      </c>
      <c r="E57" s="25">
        <v>410</v>
      </c>
      <c r="F57" s="26" t="s">
        <v>89</v>
      </c>
      <c r="G57" s="27">
        <f t="shared" si="32"/>
        <v>16000000</v>
      </c>
      <c r="H57" s="27"/>
      <c r="I57" s="39"/>
      <c r="J57" s="39"/>
      <c r="K57" s="39"/>
      <c r="L57" s="39"/>
      <c r="M57" s="39"/>
      <c r="N57" s="39"/>
      <c r="O57" s="39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>
        <f>16000000</f>
        <v>16000000</v>
      </c>
      <c r="AC57" s="29">
        <f t="shared" si="1"/>
        <v>1</v>
      </c>
      <c r="AD57" s="27">
        <f t="shared" si="33"/>
        <v>16000000</v>
      </c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>
        <f>+'[2]MARZO 2016 ULTIMO'!$AF$846</f>
        <v>16000000</v>
      </c>
      <c r="AY57" s="29">
        <f t="shared" si="3"/>
        <v>0</v>
      </c>
      <c r="AZ57" s="27">
        <f t="shared" si="34"/>
        <v>0</v>
      </c>
      <c r="BA57" s="27">
        <f t="shared" si="35"/>
        <v>0</v>
      </c>
      <c r="BB57" s="27">
        <f t="shared" si="36"/>
        <v>0</v>
      </c>
      <c r="BC57" s="27">
        <f t="shared" si="36"/>
        <v>0</v>
      </c>
      <c r="BD57" s="27">
        <f t="shared" si="36"/>
        <v>0</v>
      </c>
      <c r="BE57" s="27">
        <f t="shared" si="63"/>
        <v>0</v>
      </c>
      <c r="BF57" s="27">
        <f t="shared" si="63"/>
        <v>0</v>
      </c>
      <c r="BG57" s="27">
        <f t="shared" si="63"/>
        <v>0</v>
      </c>
      <c r="BH57" s="27">
        <f t="shared" si="63"/>
        <v>0</v>
      </c>
      <c r="BI57" s="27">
        <f t="shared" si="63"/>
        <v>0</v>
      </c>
      <c r="BJ57" s="27">
        <f t="shared" si="55"/>
        <v>0</v>
      </c>
      <c r="BK57" s="27">
        <f t="shared" si="64"/>
        <v>0</v>
      </c>
      <c r="BL57" s="27">
        <f t="shared" si="64"/>
        <v>0</v>
      </c>
      <c r="BM57" s="27">
        <f t="shared" si="64"/>
        <v>0</v>
      </c>
      <c r="BN57" s="27">
        <f t="shared" si="64"/>
        <v>0</v>
      </c>
      <c r="BO57" s="27">
        <f t="shared" si="64"/>
        <v>0</v>
      </c>
      <c r="BP57" s="27">
        <f t="shared" si="64"/>
        <v>0</v>
      </c>
      <c r="BQ57" s="27"/>
      <c r="BR57" s="27"/>
      <c r="BS57" s="27">
        <f t="shared" si="49"/>
        <v>0</v>
      </c>
      <c r="BT57" s="27">
        <f t="shared" si="50"/>
        <v>0</v>
      </c>
      <c r="BU57" s="29">
        <f t="shared" si="10"/>
        <v>0.4375</v>
      </c>
      <c r="BV57" s="27">
        <f t="shared" si="39"/>
        <v>7000000</v>
      </c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>
        <f>+'[1]JUNIO 2016'!$H$1454</f>
        <v>7000000</v>
      </c>
      <c r="CQ57" s="29">
        <f t="shared" si="12"/>
        <v>0.5625</v>
      </c>
      <c r="CR57" s="27">
        <f t="shared" si="40"/>
        <v>9000000</v>
      </c>
      <c r="CS57" s="27">
        <f t="shared" si="41"/>
        <v>0</v>
      </c>
      <c r="CT57" s="27">
        <f t="shared" si="41"/>
        <v>0</v>
      </c>
      <c r="CU57" s="27">
        <f t="shared" si="41"/>
        <v>0</v>
      </c>
      <c r="CV57" s="27">
        <f t="shared" ref="CV57:CY57" si="65">K57-BZ57</f>
        <v>0</v>
      </c>
      <c r="CW57" s="27">
        <f t="shared" si="65"/>
        <v>0</v>
      </c>
      <c r="CX57" s="27">
        <f t="shared" si="65"/>
        <v>0</v>
      </c>
      <c r="CY57" s="27">
        <f t="shared" si="65"/>
        <v>0</v>
      </c>
      <c r="CZ57" s="27">
        <f t="shared" si="58"/>
        <v>0</v>
      </c>
      <c r="DA57" s="27">
        <f t="shared" si="58"/>
        <v>0</v>
      </c>
      <c r="DB57" s="27">
        <f t="shared" si="59"/>
        <v>0</v>
      </c>
      <c r="DC57" s="27">
        <f t="shared" si="57"/>
        <v>0</v>
      </c>
      <c r="DD57" s="27">
        <f t="shared" si="57"/>
        <v>0</v>
      </c>
      <c r="DE57" s="27">
        <f t="shared" si="57"/>
        <v>0</v>
      </c>
      <c r="DF57" s="27">
        <f t="shared" si="60"/>
        <v>0</v>
      </c>
      <c r="DG57" s="27">
        <f t="shared" si="60"/>
        <v>0</v>
      </c>
      <c r="DH57" s="27">
        <f t="shared" si="60"/>
        <v>0</v>
      </c>
      <c r="DI57" s="27"/>
      <c r="DJ57" s="27">
        <f t="shared" si="61"/>
        <v>0</v>
      </c>
      <c r="DK57" s="27">
        <f t="shared" si="56"/>
        <v>0</v>
      </c>
      <c r="DL57" s="27">
        <f t="shared" si="62"/>
        <v>9000000</v>
      </c>
      <c r="DN57" s="33">
        <f t="shared" si="19"/>
        <v>16000000</v>
      </c>
      <c r="DO57" s="33">
        <f t="shared" si="20"/>
        <v>16000000</v>
      </c>
      <c r="DP57" s="33">
        <f t="shared" si="21"/>
        <v>16000000</v>
      </c>
    </row>
    <row r="58" spans="1:120" s="50" customFormat="1" ht="18" customHeight="1" thickBot="1" x14ac:dyDescent="0.3">
      <c r="A58" s="66"/>
      <c r="B58" s="238" t="s">
        <v>174</v>
      </c>
      <c r="C58" s="238"/>
      <c r="D58" s="238"/>
      <c r="E58" s="238"/>
      <c r="F58" s="67"/>
      <c r="G58" s="68">
        <f t="shared" ref="G58:AA58" si="66">SUM(G21:G57)</f>
        <v>4334106780</v>
      </c>
      <c r="H58" s="68">
        <f t="shared" si="66"/>
        <v>0</v>
      </c>
      <c r="I58" s="68">
        <f t="shared" si="66"/>
        <v>0</v>
      </c>
      <c r="J58" s="68">
        <f t="shared" si="66"/>
        <v>1163096695</v>
      </c>
      <c r="K58" s="68">
        <f t="shared" si="66"/>
        <v>0</v>
      </c>
      <c r="L58" s="68">
        <f t="shared" si="66"/>
        <v>0</v>
      </c>
      <c r="M58" s="68">
        <f t="shared" si="66"/>
        <v>74368590</v>
      </c>
      <c r="N58" s="68">
        <f t="shared" si="66"/>
        <v>0</v>
      </c>
      <c r="O58" s="68">
        <f t="shared" si="66"/>
        <v>0</v>
      </c>
      <c r="P58" s="68">
        <f t="shared" si="66"/>
        <v>0</v>
      </c>
      <c r="Q58" s="68">
        <f t="shared" si="66"/>
        <v>0</v>
      </c>
      <c r="R58" s="68">
        <f t="shared" si="66"/>
        <v>0</v>
      </c>
      <c r="S58" s="68">
        <f t="shared" si="66"/>
        <v>1344000000</v>
      </c>
      <c r="T58" s="68">
        <f t="shared" si="66"/>
        <v>387696735</v>
      </c>
      <c r="U58" s="68">
        <f t="shared" si="66"/>
        <v>0</v>
      </c>
      <c r="V58" s="68">
        <f t="shared" si="66"/>
        <v>1054833768</v>
      </c>
      <c r="W58" s="68">
        <f t="shared" si="66"/>
        <v>0</v>
      </c>
      <c r="X58" s="68">
        <f t="shared" si="66"/>
        <v>11169156</v>
      </c>
      <c r="Y58" s="68">
        <f t="shared" si="66"/>
        <v>0</v>
      </c>
      <c r="Z58" s="68">
        <f t="shared" si="66"/>
        <v>204741836</v>
      </c>
      <c r="AA58" s="68">
        <f t="shared" si="66"/>
        <v>94200000</v>
      </c>
      <c r="AC58" s="48">
        <f t="shared" si="1"/>
        <v>0.70007118052592143</v>
      </c>
      <c r="AD58" s="68">
        <f>SUM(AD21:AD57)</f>
        <v>3034183250</v>
      </c>
      <c r="AE58" s="68"/>
      <c r="AF58" s="68">
        <f t="shared" ref="AF58:AX58" si="67">SUM(AF21:AF57)</f>
        <v>0</v>
      </c>
      <c r="AG58" s="68">
        <f t="shared" si="67"/>
        <v>702842156</v>
      </c>
      <c r="AH58" s="68">
        <f t="shared" si="67"/>
        <v>0</v>
      </c>
      <c r="AI58" s="68">
        <f t="shared" si="67"/>
        <v>0</v>
      </c>
      <c r="AJ58" s="68">
        <f t="shared" si="67"/>
        <v>0</v>
      </c>
      <c r="AK58" s="68">
        <f t="shared" si="67"/>
        <v>0</v>
      </c>
      <c r="AL58" s="68">
        <f t="shared" si="67"/>
        <v>0</v>
      </c>
      <c r="AM58" s="68">
        <f t="shared" si="67"/>
        <v>0</v>
      </c>
      <c r="AN58" s="68">
        <f t="shared" si="67"/>
        <v>0</v>
      </c>
      <c r="AO58" s="68">
        <f t="shared" si="67"/>
        <v>0</v>
      </c>
      <c r="AP58" s="68">
        <f t="shared" si="67"/>
        <v>1300000000</v>
      </c>
      <c r="AQ58" s="68">
        <f t="shared" si="67"/>
        <v>216735177</v>
      </c>
      <c r="AR58" s="68">
        <f t="shared" si="67"/>
        <v>0</v>
      </c>
      <c r="AS58" s="68">
        <f t="shared" si="67"/>
        <v>747530233</v>
      </c>
      <c r="AT58" s="68">
        <f t="shared" si="67"/>
        <v>0</v>
      </c>
      <c r="AU58" s="68">
        <f t="shared" si="67"/>
        <v>0</v>
      </c>
      <c r="AV58" s="68">
        <f t="shared" si="67"/>
        <v>0</v>
      </c>
      <c r="AW58" s="68">
        <f t="shared" si="67"/>
        <v>23350298</v>
      </c>
      <c r="AX58" s="68">
        <f t="shared" si="67"/>
        <v>43725386</v>
      </c>
      <c r="AY58" s="48">
        <f t="shared" si="3"/>
        <v>0.29992881947407857</v>
      </c>
      <c r="AZ58" s="68">
        <f t="shared" ref="AZ58:BT58" si="68">SUM(AZ21:AZ57)</f>
        <v>1299923530</v>
      </c>
      <c r="BA58" s="68">
        <f t="shared" si="68"/>
        <v>0</v>
      </c>
      <c r="BB58" s="68">
        <f t="shared" si="68"/>
        <v>0</v>
      </c>
      <c r="BC58" s="68">
        <f t="shared" si="68"/>
        <v>460254539</v>
      </c>
      <c r="BD58" s="68">
        <f t="shared" si="68"/>
        <v>0</v>
      </c>
      <c r="BE58" s="68">
        <f t="shared" si="68"/>
        <v>0</v>
      </c>
      <c r="BF58" s="68">
        <f t="shared" si="68"/>
        <v>74368590</v>
      </c>
      <c r="BG58" s="68">
        <f t="shared" si="68"/>
        <v>0</v>
      </c>
      <c r="BH58" s="68">
        <f t="shared" si="68"/>
        <v>0</v>
      </c>
      <c r="BI58" s="68">
        <f t="shared" si="68"/>
        <v>0</v>
      </c>
      <c r="BJ58" s="68">
        <f t="shared" si="68"/>
        <v>0</v>
      </c>
      <c r="BK58" s="68">
        <f t="shared" si="68"/>
        <v>0</v>
      </c>
      <c r="BL58" s="68">
        <f t="shared" si="68"/>
        <v>44000000</v>
      </c>
      <c r="BM58" s="68">
        <f t="shared" si="68"/>
        <v>170961558</v>
      </c>
      <c r="BN58" s="68">
        <f t="shared" si="68"/>
        <v>0</v>
      </c>
      <c r="BO58" s="68">
        <f t="shared" si="68"/>
        <v>307303535</v>
      </c>
      <c r="BP58" s="68">
        <f t="shared" si="68"/>
        <v>0</v>
      </c>
      <c r="BQ58" s="68">
        <f t="shared" si="68"/>
        <v>11169156</v>
      </c>
      <c r="BR58" s="68">
        <f t="shared" si="68"/>
        <v>0</v>
      </c>
      <c r="BS58" s="68">
        <f t="shared" si="68"/>
        <v>181391538</v>
      </c>
      <c r="BT58" s="68">
        <f t="shared" si="68"/>
        <v>50474614</v>
      </c>
      <c r="BU58" s="48">
        <f t="shared" si="10"/>
        <v>0.5147910419041406</v>
      </c>
      <c r="BV58" s="68">
        <f t="shared" ref="BV58:DL58" si="69">SUM(BV21:BV57)</f>
        <v>2231159345</v>
      </c>
      <c r="BW58" s="68">
        <f t="shared" si="69"/>
        <v>0</v>
      </c>
      <c r="BX58" s="68">
        <f t="shared" si="69"/>
        <v>0</v>
      </c>
      <c r="BY58" s="68">
        <f t="shared" si="69"/>
        <v>560130573</v>
      </c>
      <c r="BZ58" s="68">
        <f t="shared" si="69"/>
        <v>0</v>
      </c>
      <c r="CA58" s="68">
        <f t="shared" si="69"/>
        <v>0</v>
      </c>
      <c r="CB58" s="68">
        <f t="shared" si="69"/>
        <v>0</v>
      </c>
      <c r="CC58" s="68">
        <f t="shared" si="69"/>
        <v>0</v>
      </c>
      <c r="CD58" s="68">
        <f t="shared" si="69"/>
        <v>0</v>
      </c>
      <c r="CE58" s="68">
        <f t="shared" si="69"/>
        <v>0</v>
      </c>
      <c r="CF58" s="68">
        <f t="shared" si="69"/>
        <v>0</v>
      </c>
      <c r="CG58" s="68">
        <f t="shared" si="69"/>
        <v>0</v>
      </c>
      <c r="CH58" s="68">
        <f t="shared" si="69"/>
        <v>736592397</v>
      </c>
      <c r="CI58" s="68">
        <f t="shared" si="69"/>
        <v>216735177</v>
      </c>
      <c r="CJ58" s="68">
        <f t="shared" si="69"/>
        <v>0</v>
      </c>
      <c r="CK58" s="68">
        <f t="shared" si="69"/>
        <v>659625514</v>
      </c>
      <c r="CL58" s="68">
        <f t="shared" si="69"/>
        <v>0</v>
      </c>
      <c r="CM58" s="68">
        <f t="shared" si="69"/>
        <v>0</v>
      </c>
      <c r="CN58" s="68">
        <f t="shared" si="69"/>
        <v>0</v>
      </c>
      <c r="CO58" s="68">
        <f t="shared" si="69"/>
        <v>23350298</v>
      </c>
      <c r="CP58" s="68">
        <f t="shared" si="69"/>
        <v>34725386</v>
      </c>
      <c r="CQ58" s="68" t="e">
        <f t="shared" si="69"/>
        <v>#DIV/0!</v>
      </c>
      <c r="CR58" s="68">
        <f t="shared" si="69"/>
        <v>2102947435</v>
      </c>
      <c r="CS58" s="68">
        <f t="shared" si="69"/>
        <v>0</v>
      </c>
      <c r="CT58" s="68">
        <f t="shared" si="69"/>
        <v>0</v>
      </c>
      <c r="CU58" s="68">
        <f t="shared" si="69"/>
        <v>602966122</v>
      </c>
      <c r="CV58" s="68">
        <f t="shared" si="69"/>
        <v>0</v>
      </c>
      <c r="CW58" s="68">
        <f t="shared" si="69"/>
        <v>0</v>
      </c>
      <c r="CX58" s="68">
        <f t="shared" si="69"/>
        <v>74368590</v>
      </c>
      <c r="CY58" s="68">
        <f t="shared" si="69"/>
        <v>0</v>
      </c>
      <c r="CZ58" s="68">
        <f t="shared" si="69"/>
        <v>0</v>
      </c>
      <c r="DA58" s="68">
        <f t="shared" si="69"/>
        <v>0</v>
      </c>
      <c r="DB58" s="68">
        <f t="shared" si="69"/>
        <v>0</v>
      </c>
      <c r="DC58" s="68">
        <f t="shared" si="69"/>
        <v>0</v>
      </c>
      <c r="DD58" s="68">
        <f t="shared" si="69"/>
        <v>607407603</v>
      </c>
      <c r="DE58" s="68">
        <f t="shared" si="69"/>
        <v>170961558</v>
      </c>
      <c r="DF58" s="68">
        <f t="shared" si="69"/>
        <v>0</v>
      </c>
      <c r="DG58" s="68">
        <f t="shared" si="69"/>
        <v>395208254</v>
      </c>
      <c r="DH58" s="68">
        <f t="shared" si="69"/>
        <v>0</v>
      </c>
      <c r="DI58" s="68">
        <f t="shared" si="69"/>
        <v>11169156</v>
      </c>
      <c r="DJ58" s="68">
        <f t="shared" si="69"/>
        <v>0</v>
      </c>
      <c r="DK58" s="68">
        <f t="shared" si="69"/>
        <v>181391538</v>
      </c>
      <c r="DL58" s="69">
        <f t="shared" si="69"/>
        <v>59474614</v>
      </c>
      <c r="DN58" s="33">
        <f t="shared" si="19"/>
        <v>4334106780</v>
      </c>
      <c r="DO58" s="33">
        <f t="shared" si="20"/>
        <v>4334106780</v>
      </c>
      <c r="DP58" s="33">
        <f t="shared" si="21"/>
        <v>4334106780</v>
      </c>
    </row>
    <row r="59" spans="1:120" ht="48.75" thickTop="1" x14ac:dyDescent="0.25">
      <c r="A59" s="226" t="s">
        <v>175</v>
      </c>
      <c r="B59" s="229" t="s">
        <v>176</v>
      </c>
      <c r="C59" s="23" t="s">
        <v>177</v>
      </c>
      <c r="D59" s="24" t="s">
        <v>178</v>
      </c>
      <c r="E59" s="25">
        <v>520</v>
      </c>
      <c r="F59" s="26" t="s">
        <v>179</v>
      </c>
      <c r="G59" s="27">
        <f t="shared" ref="G59:G90" si="70">SUM(H59:AA59)</f>
        <v>108000000</v>
      </c>
      <c r="H59" s="27"/>
      <c r="I59" s="27"/>
      <c r="J59" s="27"/>
      <c r="K59" s="27"/>
      <c r="L59" s="27"/>
      <c r="M59" s="27">
        <f>50000000</f>
        <v>50000000</v>
      </c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>
        <f>50000000+8000000</f>
        <v>58000000</v>
      </c>
      <c r="AC59" s="29">
        <f t="shared" si="1"/>
        <v>0.39246537962962963</v>
      </c>
      <c r="AD59" s="27">
        <f t="shared" ref="AD59:AD90" si="71">SUM(AE59:AX59)</f>
        <v>42386261</v>
      </c>
      <c r="AE59" s="27"/>
      <c r="AF59" s="27"/>
      <c r="AG59" s="27"/>
      <c r="AH59" s="27"/>
      <c r="AI59" s="27"/>
      <c r="AJ59" s="27">
        <f>+'[3]MAYO 2016'!$P$1508</f>
        <v>24212635</v>
      </c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>
        <f>+'[3]MAYO 2016'!$AG$1508</f>
        <v>18173626</v>
      </c>
      <c r="AY59" s="29">
        <f t="shared" si="3"/>
        <v>0.60753462037037043</v>
      </c>
      <c r="AZ59" s="27">
        <f t="shared" ref="AZ59:AZ90" si="72">SUM(BA59:BT59)</f>
        <v>65613739</v>
      </c>
      <c r="BA59" s="27">
        <f t="shared" ref="BA59:BA90" si="73">+H59</f>
        <v>0</v>
      </c>
      <c r="BB59" s="27">
        <f t="shared" ref="BB59:BP90" si="74">I59-AF59</f>
        <v>0</v>
      </c>
      <c r="BC59" s="27">
        <f t="shared" si="74"/>
        <v>0</v>
      </c>
      <c r="BD59" s="27">
        <f t="shared" si="74"/>
        <v>0</v>
      </c>
      <c r="BE59" s="27">
        <f t="shared" ref="BE59:BP68" si="75">+L59-AI59</f>
        <v>0</v>
      </c>
      <c r="BF59" s="27">
        <f t="shared" si="75"/>
        <v>25787365</v>
      </c>
      <c r="BG59" s="27">
        <f t="shared" si="75"/>
        <v>0</v>
      </c>
      <c r="BH59" s="27">
        <f t="shared" si="75"/>
        <v>0</v>
      </c>
      <c r="BI59" s="27">
        <f t="shared" si="75"/>
        <v>0</v>
      </c>
      <c r="BJ59" s="27">
        <f t="shared" si="75"/>
        <v>0</v>
      </c>
      <c r="BK59" s="27">
        <f t="shared" si="75"/>
        <v>0</v>
      </c>
      <c r="BL59" s="27">
        <f t="shared" si="75"/>
        <v>0</v>
      </c>
      <c r="BM59" s="27">
        <f t="shared" si="75"/>
        <v>0</v>
      </c>
      <c r="BN59" s="27">
        <f t="shared" si="75"/>
        <v>0</v>
      </c>
      <c r="BO59" s="27">
        <f t="shared" si="75"/>
        <v>0</v>
      </c>
      <c r="BP59" s="27">
        <f t="shared" si="75"/>
        <v>0</v>
      </c>
      <c r="BQ59" s="27"/>
      <c r="BR59" s="27"/>
      <c r="BS59" s="27">
        <f t="shared" ref="BS59:BS90" si="76">Z59-AW59</f>
        <v>0</v>
      </c>
      <c r="BT59" s="27">
        <f t="shared" ref="BT59:BT68" si="77">+AA59-AX59</f>
        <v>39826374</v>
      </c>
      <c r="BU59" s="29">
        <f t="shared" si="10"/>
        <v>0.39246537962962963</v>
      </c>
      <c r="BV59" s="27">
        <f t="shared" ref="BV59:BV90" si="78">SUM(BW59:CP59)</f>
        <v>42386261</v>
      </c>
      <c r="BW59" s="27"/>
      <c r="BX59" s="27"/>
      <c r="BY59" s="27"/>
      <c r="BZ59" s="27"/>
      <c r="CA59" s="27"/>
      <c r="CB59" s="27">
        <f>+'[1]JUNIO 2016'!$H$1742+'[1]JUNIO 2016'!$H$1748+'[1]JUNIO 2016'!$H$1749+'[1]JUNIO 2016'!$H$1752+'[1]JUNIO 2016'!$H$1753+'[1]JUNIO 2016'!$H$1757+'[1]JUNIO 2016'!$H$1758+'[1]JUNIO 2016'!$H$1759+'[1]JUNIO 2016'!$H$1760+'[1]JUNIO 2016'!$H$1761+'[1]JUNIO 2016'!$H$1765+'[1]JUNIO 2016'!$H$1766+'[1]JUNIO 2016'!$H$1767+'[1]JUNIO 2016'!$H$1768+'[1]JUNIO 2016'!$H$1769+'[1]JUNIO 2016'!$H$1770+'[1]JUNIO 2016'!$H$1772+'[1]JUNIO 2016'!$H$1773+'[1]JUNIO 2016'!$H$1774+'[1]JUNIO 2016'!$H$1775+'[1]JUNIO 2016'!$H$1776</f>
        <v>24212635</v>
      </c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>
        <f>+'[3]MAYO 2016'!$H$1509+'[3]MAYO 2016'!$H$1511+'[3]MAYO 2016'!$H$1519+'[3]MAYO 2016'!$H$1520+'[3]MAYO 2016'!$H$1523+'[3]MAYO 2016'!$H$1524+'[3]MAYO 2016'!$H$1525+'[3]MAYO 2016'!$H$1531+'[3]MAYO 2016'!$H$1532+'[3]MAYO 2016'!$H$1533+'[3]MAYO 2016'!$H$1540</f>
        <v>18173626</v>
      </c>
      <c r="CQ59" s="29">
        <f t="shared" ref="CQ59:CQ91" si="79">1-BU59</f>
        <v>0.60753462037037043</v>
      </c>
      <c r="CR59" s="27">
        <f t="shared" ref="CR59:CR90" si="80">SUM(CS59:DL59)</f>
        <v>65613739</v>
      </c>
      <c r="CS59" s="27">
        <f t="shared" ref="CS59:DB74" si="81">H59-BW59</f>
        <v>0</v>
      </c>
      <c r="CT59" s="27">
        <f t="shared" si="81"/>
        <v>0</v>
      </c>
      <c r="CU59" s="27">
        <f t="shared" si="81"/>
        <v>0</v>
      </c>
      <c r="CV59" s="27">
        <f t="shared" si="81"/>
        <v>0</v>
      </c>
      <c r="CW59" s="27">
        <f t="shared" si="81"/>
        <v>0</v>
      </c>
      <c r="CX59" s="27">
        <f t="shared" si="81"/>
        <v>25787365</v>
      </c>
      <c r="CY59" s="27">
        <f t="shared" si="81"/>
        <v>0</v>
      </c>
      <c r="CZ59" s="27">
        <f t="shared" ref="CZ59:DB68" si="82">+O59-CD59</f>
        <v>0</v>
      </c>
      <c r="DA59" s="27">
        <f t="shared" si="82"/>
        <v>0</v>
      </c>
      <c r="DB59" s="27">
        <f t="shared" si="82"/>
        <v>0</v>
      </c>
      <c r="DC59" s="27">
        <f t="shared" ref="DC59:DH89" si="83">R59-CG59</f>
        <v>0</v>
      </c>
      <c r="DD59" s="27">
        <f t="shared" si="83"/>
        <v>0</v>
      </c>
      <c r="DE59" s="27">
        <f t="shared" si="83"/>
        <v>0</v>
      </c>
      <c r="DF59" s="27">
        <f t="shared" ref="DF59:DH68" si="84">+U59-CJ59</f>
        <v>0</v>
      </c>
      <c r="DG59" s="27">
        <f t="shared" si="84"/>
        <v>0</v>
      </c>
      <c r="DH59" s="27">
        <f t="shared" si="84"/>
        <v>0</v>
      </c>
      <c r="DI59" s="27"/>
      <c r="DJ59" s="27">
        <f t="shared" ref="DJ59:DL68" si="85">+Y59-CN59</f>
        <v>0</v>
      </c>
      <c r="DK59" s="61">
        <f t="shared" si="85"/>
        <v>0</v>
      </c>
      <c r="DL59" s="27">
        <f t="shared" si="85"/>
        <v>39826374</v>
      </c>
      <c r="DN59" s="33">
        <f t="shared" si="19"/>
        <v>108000000</v>
      </c>
      <c r="DO59" s="33">
        <f t="shared" si="20"/>
        <v>108000000</v>
      </c>
      <c r="DP59" s="33">
        <f t="shared" si="21"/>
        <v>108000000</v>
      </c>
    </row>
    <row r="60" spans="1:120" ht="24" customHeight="1" x14ac:dyDescent="0.25">
      <c r="A60" s="227"/>
      <c r="B60" s="230"/>
      <c r="C60" s="23" t="s">
        <v>180</v>
      </c>
      <c r="D60" s="24" t="s">
        <v>181</v>
      </c>
      <c r="E60" s="25">
        <v>520</v>
      </c>
      <c r="F60" s="26" t="s">
        <v>182</v>
      </c>
      <c r="G60" s="27">
        <f t="shared" si="70"/>
        <v>2000000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>
        <v>2000000</v>
      </c>
      <c r="AC60" s="29">
        <f t="shared" si="1"/>
        <v>0.5</v>
      </c>
      <c r="AD60" s="27">
        <f t="shared" si="71"/>
        <v>1000000</v>
      </c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>
        <f>+'[4]ABRIL 2016'!$G$1362</f>
        <v>1000000</v>
      </c>
      <c r="AY60" s="29">
        <f t="shared" si="3"/>
        <v>0.5</v>
      </c>
      <c r="AZ60" s="27">
        <f t="shared" si="72"/>
        <v>1000000</v>
      </c>
      <c r="BA60" s="27">
        <f t="shared" si="73"/>
        <v>0</v>
      </c>
      <c r="BB60" s="27">
        <f t="shared" si="74"/>
        <v>0</v>
      </c>
      <c r="BC60" s="27">
        <f t="shared" si="74"/>
        <v>0</v>
      </c>
      <c r="BD60" s="27">
        <f t="shared" si="74"/>
        <v>0</v>
      </c>
      <c r="BE60" s="27">
        <f t="shared" si="75"/>
        <v>0</v>
      </c>
      <c r="BF60" s="27">
        <f t="shared" si="75"/>
        <v>0</v>
      </c>
      <c r="BG60" s="27">
        <f t="shared" si="75"/>
        <v>0</v>
      </c>
      <c r="BH60" s="27">
        <f t="shared" si="75"/>
        <v>0</v>
      </c>
      <c r="BI60" s="27">
        <f t="shared" si="75"/>
        <v>0</v>
      </c>
      <c r="BJ60" s="27">
        <f t="shared" si="75"/>
        <v>0</v>
      </c>
      <c r="BK60" s="27">
        <f t="shared" si="75"/>
        <v>0</v>
      </c>
      <c r="BL60" s="27">
        <f t="shared" si="75"/>
        <v>0</v>
      </c>
      <c r="BM60" s="27">
        <f t="shared" si="75"/>
        <v>0</v>
      </c>
      <c r="BN60" s="27">
        <f t="shared" si="75"/>
        <v>0</v>
      </c>
      <c r="BO60" s="27">
        <f t="shared" si="75"/>
        <v>0</v>
      </c>
      <c r="BP60" s="27">
        <f t="shared" si="75"/>
        <v>0</v>
      </c>
      <c r="BQ60" s="27"/>
      <c r="BR60" s="27"/>
      <c r="BS60" s="27">
        <f t="shared" si="76"/>
        <v>0</v>
      </c>
      <c r="BT60" s="27">
        <f t="shared" si="77"/>
        <v>1000000</v>
      </c>
      <c r="BU60" s="29">
        <f t="shared" si="10"/>
        <v>0.5</v>
      </c>
      <c r="BV60" s="27">
        <f t="shared" si="78"/>
        <v>1000000</v>
      </c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>
        <f>+'[4]ABRIL 2016'!$H$1359</f>
        <v>1000000</v>
      </c>
      <c r="CQ60" s="29">
        <f t="shared" si="79"/>
        <v>0.5</v>
      </c>
      <c r="CR60" s="27">
        <f t="shared" si="80"/>
        <v>1000000</v>
      </c>
      <c r="CS60" s="27">
        <f t="shared" si="81"/>
        <v>0</v>
      </c>
      <c r="CT60" s="27">
        <f t="shared" si="81"/>
        <v>0</v>
      </c>
      <c r="CU60" s="27">
        <f t="shared" si="81"/>
        <v>0</v>
      </c>
      <c r="CV60" s="27">
        <f t="shared" si="81"/>
        <v>0</v>
      </c>
      <c r="CW60" s="27">
        <f t="shared" si="81"/>
        <v>0</v>
      </c>
      <c r="CX60" s="27">
        <f t="shared" si="81"/>
        <v>0</v>
      </c>
      <c r="CY60" s="27">
        <f t="shared" si="81"/>
        <v>0</v>
      </c>
      <c r="CZ60" s="27">
        <f t="shared" si="82"/>
        <v>0</v>
      </c>
      <c r="DA60" s="27">
        <f t="shared" si="82"/>
        <v>0</v>
      </c>
      <c r="DB60" s="27">
        <f t="shared" si="82"/>
        <v>0</v>
      </c>
      <c r="DC60" s="27">
        <f t="shared" si="83"/>
        <v>0</v>
      </c>
      <c r="DD60" s="27">
        <f t="shared" si="83"/>
        <v>0</v>
      </c>
      <c r="DE60" s="27">
        <f t="shared" si="83"/>
        <v>0</v>
      </c>
      <c r="DF60" s="27">
        <f t="shared" si="84"/>
        <v>0</v>
      </c>
      <c r="DG60" s="27">
        <f t="shared" si="84"/>
        <v>0</v>
      </c>
      <c r="DH60" s="27">
        <f t="shared" si="84"/>
        <v>0</v>
      </c>
      <c r="DI60" s="27"/>
      <c r="DJ60" s="27">
        <f t="shared" si="85"/>
        <v>0</v>
      </c>
      <c r="DK60" s="61">
        <f t="shared" si="85"/>
        <v>0</v>
      </c>
      <c r="DL60" s="27">
        <f t="shared" si="85"/>
        <v>1000000</v>
      </c>
      <c r="DN60" s="33">
        <f t="shared" si="19"/>
        <v>2000000</v>
      </c>
      <c r="DO60" s="33">
        <f t="shared" si="20"/>
        <v>2000000</v>
      </c>
      <c r="DP60" s="33">
        <f t="shared" si="21"/>
        <v>2000000</v>
      </c>
    </row>
    <row r="61" spans="1:120" ht="33.75" customHeight="1" x14ac:dyDescent="0.25">
      <c r="A61" s="227"/>
      <c r="B61" s="231"/>
      <c r="C61" s="23" t="s">
        <v>183</v>
      </c>
      <c r="D61" s="24" t="s">
        <v>184</v>
      </c>
      <c r="E61" s="25">
        <v>520</v>
      </c>
      <c r="F61" s="26" t="s">
        <v>75</v>
      </c>
      <c r="G61" s="27">
        <f t="shared" si="70"/>
        <v>3000000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>
        <v>3000000</v>
      </c>
      <c r="AC61" s="29">
        <f t="shared" si="1"/>
        <v>1</v>
      </c>
      <c r="AD61" s="27">
        <f t="shared" si="71"/>
        <v>3000000</v>
      </c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>
        <f>+'[1]JUNIO 2016'!$G$1784</f>
        <v>3000000</v>
      </c>
      <c r="AY61" s="29">
        <f t="shared" si="3"/>
        <v>0</v>
      </c>
      <c r="AZ61" s="27">
        <f t="shared" si="72"/>
        <v>0</v>
      </c>
      <c r="BA61" s="27">
        <f t="shared" si="73"/>
        <v>0</v>
      </c>
      <c r="BB61" s="27">
        <f t="shared" si="74"/>
        <v>0</v>
      </c>
      <c r="BC61" s="27">
        <f t="shared" si="74"/>
        <v>0</v>
      </c>
      <c r="BD61" s="27">
        <f t="shared" si="74"/>
        <v>0</v>
      </c>
      <c r="BE61" s="27">
        <f t="shared" si="75"/>
        <v>0</v>
      </c>
      <c r="BF61" s="27">
        <f t="shared" si="75"/>
        <v>0</v>
      </c>
      <c r="BG61" s="27">
        <f t="shared" si="75"/>
        <v>0</v>
      </c>
      <c r="BH61" s="27">
        <f t="shared" si="75"/>
        <v>0</v>
      </c>
      <c r="BI61" s="27">
        <f t="shared" si="75"/>
        <v>0</v>
      </c>
      <c r="BJ61" s="27">
        <f t="shared" si="75"/>
        <v>0</v>
      </c>
      <c r="BK61" s="27">
        <f t="shared" si="75"/>
        <v>0</v>
      </c>
      <c r="BL61" s="27">
        <f t="shared" si="75"/>
        <v>0</v>
      </c>
      <c r="BM61" s="27">
        <f t="shared" si="75"/>
        <v>0</v>
      </c>
      <c r="BN61" s="27">
        <f t="shared" si="75"/>
        <v>0</v>
      </c>
      <c r="BO61" s="27">
        <f t="shared" si="75"/>
        <v>0</v>
      </c>
      <c r="BP61" s="27">
        <f t="shared" si="75"/>
        <v>0</v>
      </c>
      <c r="BQ61" s="27"/>
      <c r="BR61" s="27"/>
      <c r="BS61" s="27">
        <f t="shared" si="76"/>
        <v>0</v>
      </c>
      <c r="BT61" s="27">
        <f t="shared" si="77"/>
        <v>0</v>
      </c>
      <c r="BU61" s="29">
        <f t="shared" si="10"/>
        <v>1</v>
      </c>
      <c r="BV61" s="27">
        <f t="shared" si="78"/>
        <v>3000000</v>
      </c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>
        <f>+'[1]JUNIO 2016'!$H$1784</f>
        <v>3000000</v>
      </c>
      <c r="CQ61" s="29">
        <f t="shared" si="79"/>
        <v>0</v>
      </c>
      <c r="CR61" s="27">
        <f t="shared" si="80"/>
        <v>0</v>
      </c>
      <c r="CS61" s="27">
        <f t="shared" si="81"/>
        <v>0</v>
      </c>
      <c r="CT61" s="27">
        <f t="shared" si="81"/>
        <v>0</v>
      </c>
      <c r="CU61" s="27">
        <f t="shared" si="81"/>
        <v>0</v>
      </c>
      <c r="CV61" s="27">
        <f t="shared" si="81"/>
        <v>0</v>
      </c>
      <c r="CW61" s="27">
        <f t="shared" si="81"/>
        <v>0</v>
      </c>
      <c r="CX61" s="27">
        <f t="shared" si="81"/>
        <v>0</v>
      </c>
      <c r="CY61" s="27">
        <f t="shared" si="81"/>
        <v>0</v>
      </c>
      <c r="CZ61" s="27">
        <f t="shared" si="82"/>
        <v>0</v>
      </c>
      <c r="DA61" s="27">
        <f t="shared" si="82"/>
        <v>0</v>
      </c>
      <c r="DB61" s="27">
        <f t="shared" si="82"/>
        <v>0</v>
      </c>
      <c r="DC61" s="27">
        <f t="shared" si="83"/>
        <v>0</v>
      </c>
      <c r="DD61" s="27">
        <f t="shared" si="83"/>
        <v>0</v>
      </c>
      <c r="DE61" s="27">
        <f t="shared" si="83"/>
        <v>0</v>
      </c>
      <c r="DF61" s="27">
        <f t="shared" si="84"/>
        <v>0</v>
      </c>
      <c r="DG61" s="27">
        <f t="shared" si="84"/>
        <v>0</v>
      </c>
      <c r="DH61" s="27">
        <f t="shared" si="84"/>
        <v>0</v>
      </c>
      <c r="DI61" s="27"/>
      <c r="DJ61" s="27">
        <f t="shared" si="85"/>
        <v>0</v>
      </c>
      <c r="DK61" s="61">
        <f t="shared" si="85"/>
        <v>0</v>
      </c>
      <c r="DL61" s="27">
        <f t="shared" si="85"/>
        <v>0</v>
      </c>
      <c r="DN61" s="33">
        <f t="shared" si="19"/>
        <v>3000000</v>
      </c>
      <c r="DO61" s="33">
        <f t="shared" si="20"/>
        <v>3000000</v>
      </c>
      <c r="DP61" s="33">
        <f t="shared" si="21"/>
        <v>3000000</v>
      </c>
    </row>
    <row r="62" spans="1:120" ht="23.25" customHeight="1" x14ac:dyDescent="0.25">
      <c r="A62" s="227"/>
      <c r="B62" s="70" t="s">
        <v>185</v>
      </c>
      <c r="C62" s="23" t="s">
        <v>186</v>
      </c>
      <c r="D62" s="24" t="s">
        <v>187</v>
      </c>
      <c r="E62" s="25">
        <v>520</v>
      </c>
      <c r="F62" s="26" t="s">
        <v>89</v>
      </c>
      <c r="G62" s="27">
        <f t="shared" si="70"/>
        <v>20000000</v>
      </c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>
        <v>20000000</v>
      </c>
      <c r="U62" s="27"/>
      <c r="V62" s="27"/>
      <c r="W62" s="27"/>
      <c r="X62" s="27"/>
      <c r="Y62" s="27"/>
      <c r="Z62" s="27"/>
      <c r="AA62" s="27"/>
      <c r="AC62" s="29">
        <f t="shared" si="1"/>
        <v>0.84190584999999996</v>
      </c>
      <c r="AD62" s="27">
        <f t="shared" si="71"/>
        <v>16838117</v>
      </c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>
        <f>+'[3]MAYO 2016'!$W$1566</f>
        <v>16838117</v>
      </c>
      <c r="AR62" s="27"/>
      <c r="AS62" s="27"/>
      <c r="AT62" s="27"/>
      <c r="AU62" s="27"/>
      <c r="AV62" s="27"/>
      <c r="AW62" s="27"/>
      <c r="AX62" s="27"/>
      <c r="AY62" s="29">
        <f t="shared" si="3"/>
        <v>0.15809415000000004</v>
      </c>
      <c r="AZ62" s="27">
        <f t="shared" si="72"/>
        <v>3161883</v>
      </c>
      <c r="BA62" s="27">
        <f t="shared" si="73"/>
        <v>0</v>
      </c>
      <c r="BB62" s="27">
        <f t="shared" si="74"/>
        <v>0</v>
      </c>
      <c r="BC62" s="27">
        <f t="shared" si="74"/>
        <v>0</v>
      </c>
      <c r="BD62" s="27">
        <f t="shared" si="74"/>
        <v>0</v>
      </c>
      <c r="BE62" s="27">
        <f t="shared" si="75"/>
        <v>0</v>
      </c>
      <c r="BF62" s="27">
        <f t="shared" si="75"/>
        <v>0</v>
      </c>
      <c r="BG62" s="27">
        <f t="shared" si="75"/>
        <v>0</v>
      </c>
      <c r="BH62" s="27">
        <f t="shared" si="75"/>
        <v>0</v>
      </c>
      <c r="BI62" s="27">
        <f t="shared" si="75"/>
        <v>0</v>
      </c>
      <c r="BJ62" s="27">
        <f t="shared" si="75"/>
        <v>0</v>
      </c>
      <c r="BK62" s="27">
        <f t="shared" si="75"/>
        <v>0</v>
      </c>
      <c r="BL62" s="27">
        <f t="shared" si="75"/>
        <v>0</v>
      </c>
      <c r="BM62" s="27">
        <f t="shared" si="75"/>
        <v>3161883</v>
      </c>
      <c r="BN62" s="27">
        <f t="shared" si="75"/>
        <v>0</v>
      </c>
      <c r="BO62" s="27">
        <f t="shared" si="75"/>
        <v>0</v>
      </c>
      <c r="BP62" s="27">
        <f t="shared" si="75"/>
        <v>0</v>
      </c>
      <c r="BQ62" s="27"/>
      <c r="BR62" s="27">
        <f>+Y62-AV62</f>
        <v>0</v>
      </c>
      <c r="BS62" s="27">
        <f t="shared" si="76"/>
        <v>0</v>
      </c>
      <c r="BT62" s="27">
        <f t="shared" si="77"/>
        <v>0</v>
      </c>
      <c r="BU62" s="29">
        <f t="shared" si="10"/>
        <v>0.8307021</v>
      </c>
      <c r="BV62" s="27">
        <f t="shared" si="78"/>
        <v>16614042</v>
      </c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>
        <f>+'[1]JUNIO 2016'!$H$1796</f>
        <v>16614042</v>
      </c>
      <c r="CJ62" s="27"/>
      <c r="CK62" s="27"/>
      <c r="CL62" s="27"/>
      <c r="CM62" s="27"/>
      <c r="CN62" s="27"/>
      <c r="CO62" s="27"/>
      <c r="CP62" s="27"/>
      <c r="CQ62" s="29">
        <f t="shared" si="79"/>
        <v>0.1692979</v>
      </c>
      <c r="CR62" s="27">
        <f t="shared" si="80"/>
        <v>3385958</v>
      </c>
      <c r="CS62" s="27">
        <f t="shared" si="81"/>
        <v>0</v>
      </c>
      <c r="CT62" s="27">
        <f t="shared" si="81"/>
        <v>0</v>
      </c>
      <c r="CU62" s="27">
        <f t="shared" si="81"/>
        <v>0</v>
      </c>
      <c r="CV62" s="27">
        <f t="shared" si="81"/>
        <v>0</v>
      </c>
      <c r="CW62" s="27">
        <f t="shared" si="81"/>
        <v>0</v>
      </c>
      <c r="CX62" s="27">
        <f t="shared" si="81"/>
        <v>0</v>
      </c>
      <c r="CY62" s="27">
        <f t="shared" si="81"/>
        <v>0</v>
      </c>
      <c r="CZ62" s="27">
        <f t="shared" si="82"/>
        <v>0</v>
      </c>
      <c r="DA62" s="27">
        <f t="shared" si="82"/>
        <v>0</v>
      </c>
      <c r="DB62" s="27">
        <f t="shared" si="82"/>
        <v>0</v>
      </c>
      <c r="DC62" s="27">
        <f t="shared" si="83"/>
        <v>0</v>
      </c>
      <c r="DD62" s="27">
        <f t="shared" si="83"/>
        <v>0</v>
      </c>
      <c r="DE62" s="27">
        <f t="shared" si="83"/>
        <v>3385958</v>
      </c>
      <c r="DF62" s="27">
        <f t="shared" si="84"/>
        <v>0</v>
      </c>
      <c r="DG62" s="27">
        <f t="shared" si="84"/>
        <v>0</v>
      </c>
      <c r="DH62" s="27">
        <f t="shared" si="84"/>
        <v>0</v>
      </c>
      <c r="DI62" s="27"/>
      <c r="DJ62" s="27">
        <f t="shared" si="85"/>
        <v>0</v>
      </c>
      <c r="DK62" s="61">
        <f t="shared" si="85"/>
        <v>0</v>
      </c>
      <c r="DL62" s="27">
        <f t="shared" si="85"/>
        <v>0</v>
      </c>
      <c r="DN62" s="33">
        <f t="shared" si="19"/>
        <v>20000000</v>
      </c>
      <c r="DO62" s="33">
        <f t="shared" si="20"/>
        <v>20000000</v>
      </c>
      <c r="DP62" s="33">
        <f t="shared" si="21"/>
        <v>20000000</v>
      </c>
    </row>
    <row r="63" spans="1:120" ht="21" customHeight="1" x14ac:dyDescent="0.25">
      <c r="A63" s="227"/>
      <c r="B63" s="229" t="s">
        <v>188</v>
      </c>
      <c r="C63" s="23" t="s">
        <v>189</v>
      </c>
      <c r="D63" s="24" t="s">
        <v>190</v>
      </c>
      <c r="E63" s="25">
        <v>520</v>
      </c>
      <c r="F63" s="26" t="s">
        <v>89</v>
      </c>
      <c r="G63" s="27">
        <f t="shared" si="70"/>
        <v>95000000</v>
      </c>
      <c r="H63" s="27"/>
      <c r="I63" s="39"/>
      <c r="J63" s="39"/>
      <c r="K63" s="39"/>
      <c r="L63" s="27">
        <f>228450721-133450721</f>
        <v>95000000</v>
      </c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C63" s="29">
        <f t="shared" si="1"/>
        <v>0.49761515789473681</v>
      </c>
      <c r="AD63" s="27">
        <f t="shared" si="71"/>
        <v>47273440</v>
      </c>
      <c r="AE63" s="27"/>
      <c r="AF63" s="27"/>
      <c r="AG63" s="27"/>
      <c r="AH63" s="27"/>
      <c r="AI63" s="27">
        <f>+'[1]JUNIO 2016'!$O$1825</f>
        <v>47273440</v>
      </c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9">
        <f t="shared" si="3"/>
        <v>0.50238484210526324</v>
      </c>
      <c r="AZ63" s="27">
        <f t="shared" si="72"/>
        <v>47726560</v>
      </c>
      <c r="BA63" s="27">
        <f t="shared" si="73"/>
        <v>0</v>
      </c>
      <c r="BB63" s="27">
        <f t="shared" si="74"/>
        <v>0</v>
      </c>
      <c r="BC63" s="27">
        <f t="shared" si="74"/>
        <v>0</v>
      </c>
      <c r="BD63" s="27">
        <f t="shared" si="74"/>
        <v>0</v>
      </c>
      <c r="BE63" s="27">
        <f t="shared" si="75"/>
        <v>47726560</v>
      </c>
      <c r="BF63" s="27">
        <f t="shared" si="75"/>
        <v>0</v>
      </c>
      <c r="BG63" s="27">
        <f t="shared" si="75"/>
        <v>0</v>
      </c>
      <c r="BH63" s="27">
        <f>O63-AL63</f>
        <v>0</v>
      </c>
      <c r="BI63" s="27">
        <f t="shared" si="75"/>
        <v>0</v>
      </c>
      <c r="BJ63" s="27">
        <f t="shared" si="75"/>
        <v>0</v>
      </c>
      <c r="BK63" s="27">
        <f t="shared" si="75"/>
        <v>0</v>
      </c>
      <c r="BL63" s="27">
        <f t="shared" si="75"/>
        <v>0</v>
      </c>
      <c r="BM63" s="27">
        <f t="shared" si="75"/>
        <v>0</v>
      </c>
      <c r="BN63" s="27">
        <f>U63-AR63</f>
        <v>0</v>
      </c>
      <c r="BO63" s="27">
        <f t="shared" si="75"/>
        <v>0</v>
      </c>
      <c r="BP63" s="27">
        <f t="shared" si="75"/>
        <v>0</v>
      </c>
      <c r="BQ63" s="27"/>
      <c r="BR63" s="27"/>
      <c r="BS63" s="27">
        <f t="shared" si="76"/>
        <v>0</v>
      </c>
      <c r="BT63" s="27">
        <f t="shared" si="77"/>
        <v>0</v>
      </c>
      <c r="BU63" s="29">
        <f t="shared" si="10"/>
        <v>8.4210526315789472E-2</v>
      </c>
      <c r="BV63" s="27">
        <f t="shared" si="78"/>
        <v>8000000</v>
      </c>
      <c r="BW63" s="27"/>
      <c r="BX63" s="27"/>
      <c r="BY63" s="27"/>
      <c r="BZ63" s="27"/>
      <c r="CA63" s="27">
        <f>+'[3]MAYO 2016'!$H$1591</f>
        <v>8000000</v>
      </c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9">
        <f t="shared" si="79"/>
        <v>0.91578947368421049</v>
      </c>
      <c r="CR63" s="27">
        <f t="shared" si="80"/>
        <v>87000000</v>
      </c>
      <c r="CS63" s="27">
        <f t="shared" si="81"/>
        <v>0</v>
      </c>
      <c r="CT63" s="27">
        <f t="shared" si="81"/>
        <v>0</v>
      </c>
      <c r="CU63" s="27">
        <f t="shared" si="81"/>
        <v>0</v>
      </c>
      <c r="CV63" s="27">
        <f t="shared" si="81"/>
        <v>0</v>
      </c>
      <c r="CW63" s="27">
        <f t="shared" si="81"/>
        <v>87000000</v>
      </c>
      <c r="CX63" s="27">
        <f t="shared" si="81"/>
        <v>0</v>
      </c>
      <c r="CY63" s="27">
        <f t="shared" si="81"/>
        <v>0</v>
      </c>
      <c r="CZ63" s="27">
        <f t="shared" si="82"/>
        <v>0</v>
      </c>
      <c r="DA63" s="27">
        <f t="shared" si="82"/>
        <v>0</v>
      </c>
      <c r="DB63" s="27">
        <f t="shared" si="82"/>
        <v>0</v>
      </c>
      <c r="DC63" s="27">
        <f t="shared" si="83"/>
        <v>0</v>
      </c>
      <c r="DD63" s="27">
        <f t="shared" si="83"/>
        <v>0</v>
      </c>
      <c r="DE63" s="27">
        <f t="shared" si="83"/>
        <v>0</v>
      </c>
      <c r="DF63" s="27">
        <f t="shared" si="84"/>
        <v>0</v>
      </c>
      <c r="DG63" s="27">
        <f t="shared" si="84"/>
        <v>0</v>
      </c>
      <c r="DH63" s="27">
        <f t="shared" si="84"/>
        <v>0</v>
      </c>
      <c r="DI63" s="27"/>
      <c r="DJ63" s="27">
        <f t="shared" si="85"/>
        <v>0</v>
      </c>
      <c r="DK63" s="61">
        <f t="shared" si="85"/>
        <v>0</v>
      </c>
      <c r="DL63" s="27">
        <f t="shared" si="85"/>
        <v>0</v>
      </c>
      <c r="DN63" s="33">
        <f t="shared" si="19"/>
        <v>95000000</v>
      </c>
      <c r="DO63" s="33">
        <f t="shared" si="20"/>
        <v>95000000</v>
      </c>
      <c r="DP63" s="33">
        <f t="shared" si="21"/>
        <v>95000000</v>
      </c>
    </row>
    <row r="64" spans="1:120" ht="21" customHeight="1" x14ac:dyDescent="0.25">
      <c r="A64" s="227"/>
      <c r="B64" s="230"/>
      <c r="C64" s="23" t="s">
        <v>191</v>
      </c>
      <c r="D64" s="24" t="s">
        <v>192</v>
      </c>
      <c r="E64" s="25">
        <v>520</v>
      </c>
      <c r="F64" s="26" t="s">
        <v>89</v>
      </c>
      <c r="G64" s="27">
        <f t="shared" si="70"/>
        <v>361901442</v>
      </c>
      <c r="H64" s="52"/>
      <c r="I64" s="52"/>
      <c r="J64" s="39"/>
      <c r="K64" s="39"/>
      <c r="L64" s="27">
        <f>28450721+133450721</f>
        <v>161901442</v>
      </c>
      <c r="M64" s="27"/>
      <c r="N64" s="27"/>
      <c r="O64" s="27"/>
      <c r="P64" s="27"/>
      <c r="Q64" s="27"/>
      <c r="R64" s="27"/>
      <c r="S64" s="27">
        <v>200000000</v>
      </c>
      <c r="T64" s="27"/>
      <c r="U64" s="27"/>
      <c r="V64" s="27"/>
      <c r="W64" s="27"/>
      <c r="X64" s="27"/>
      <c r="Y64" s="27"/>
      <c r="Z64" s="27"/>
      <c r="AA64" s="27"/>
      <c r="AC64" s="29">
        <f t="shared" si="1"/>
        <v>0.75012186328895591</v>
      </c>
      <c r="AD64" s="27">
        <f t="shared" si="71"/>
        <v>271470184</v>
      </c>
      <c r="AE64" s="27"/>
      <c r="AF64" s="27"/>
      <c r="AG64" s="27"/>
      <c r="AH64" s="27"/>
      <c r="AI64" s="27">
        <f>+'[1]JUNIO 2016'!$O$1834</f>
        <v>75081529</v>
      </c>
      <c r="AJ64" s="27"/>
      <c r="AK64" s="27"/>
      <c r="AL64" s="27"/>
      <c r="AM64" s="27"/>
      <c r="AN64" s="27"/>
      <c r="AO64" s="27"/>
      <c r="AP64" s="27">
        <f>+'[1]JUNIO 2016'!$V$1834</f>
        <v>196388655</v>
      </c>
      <c r="AQ64" s="27"/>
      <c r="AR64" s="27"/>
      <c r="AS64" s="27"/>
      <c r="AT64" s="27"/>
      <c r="AU64" s="27"/>
      <c r="AV64" s="27"/>
      <c r="AW64" s="27"/>
      <c r="AX64" s="27"/>
      <c r="AY64" s="29">
        <f t="shared" si="3"/>
        <v>0.24987813671104409</v>
      </c>
      <c r="AZ64" s="27">
        <f t="shared" si="72"/>
        <v>90431258</v>
      </c>
      <c r="BA64" s="27">
        <f t="shared" si="73"/>
        <v>0</v>
      </c>
      <c r="BB64" s="27">
        <f t="shared" si="74"/>
        <v>0</v>
      </c>
      <c r="BC64" s="27">
        <f t="shared" si="74"/>
        <v>0</v>
      </c>
      <c r="BD64" s="27">
        <f t="shared" si="74"/>
        <v>0</v>
      </c>
      <c r="BE64" s="27">
        <f t="shared" si="75"/>
        <v>86819913</v>
      </c>
      <c r="BF64" s="27">
        <f t="shared" si="75"/>
        <v>0</v>
      </c>
      <c r="BG64" s="27">
        <f t="shared" si="75"/>
        <v>0</v>
      </c>
      <c r="BH64" s="27">
        <f>O64-AL64</f>
        <v>0</v>
      </c>
      <c r="BI64" s="27">
        <f t="shared" si="75"/>
        <v>0</v>
      </c>
      <c r="BJ64" s="27">
        <f t="shared" si="75"/>
        <v>0</v>
      </c>
      <c r="BK64" s="27">
        <f t="shared" si="75"/>
        <v>0</v>
      </c>
      <c r="BL64" s="27">
        <f t="shared" si="75"/>
        <v>3611345</v>
      </c>
      <c r="BM64" s="27">
        <f t="shared" si="75"/>
        <v>0</v>
      </c>
      <c r="BN64" s="27">
        <f>U64-AR64</f>
        <v>0</v>
      </c>
      <c r="BO64" s="27">
        <f t="shared" si="75"/>
        <v>0</v>
      </c>
      <c r="BP64" s="27">
        <f t="shared" si="75"/>
        <v>0</v>
      </c>
      <c r="BQ64" s="27"/>
      <c r="BR64" s="27"/>
      <c r="BS64" s="27">
        <f t="shared" si="76"/>
        <v>0</v>
      </c>
      <c r="BT64" s="27">
        <f t="shared" si="77"/>
        <v>0</v>
      </c>
      <c r="BU64" s="29">
        <f t="shared" si="10"/>
        <v>0.64049654159709035</v>
      </c>
      <c r="BV64" s="27">
        <f t="shared" si="78"/>
        <v>231796622</v>
      </c>
      <c r="BW64" s="27"/>
      <c r="BX64" s="27"/>
      <c r="BY64" s="27"/>
      <c r="BZ64" s="27"/>
      <c r="CA64" s="27">
        <f>+'[1]JUNIO 2016'!$H$1835+'[1]JUNIO 2016'!$H$1864+'[1]JUNIO 2016'!$H$1866+'[1]JUNIO 2016'!$H$1867+'[1]JUNIO 2016'!$H$1868+'[1]JUNIO 2016'!$H$1869+'[1]JUNIO 2016'!$H$1870+'[1]JUNIO 2016'!$H$1873+'[1]JUNIO 2016'!$H$1874+'[1]JUNIO 2016'!$H$1875+'[1]JUNIO 2016'!$H$1876+'[1]JUNIO 2016'!$H$1877+'[1]JUNIO 2016'!$H$1878+'[1]JUNIO 2016'!$H$1879+'[1]JUNIO 2016'!$H$1881+'[1]JUNIO 2016'!$H$1886+'[1]JUNIO 2016'!$H$1887+'[1]JUNIO 2016'!$H$1888+'[1]JUNIO 2016'!$H$1912+'[1]JUNIO 2016'!$H$1913</f>
        <v>68913700</v>
      </c>
      <c r="CB64" s="27"/>
      <c r="CC64" s="27"/>
      <c r="CD64" s="27"/>
      <c r="CE64" s="27"/>
      <c r="CF64" s="27"/>
      <c r="CG64" s="27"/>
      <c r="CH64" s="27">
        <f>+'[1]JUNIO 2016'!$H$1845+'[1]JUNIO 2016'!$H$1856+'[1]JUNIO 2016'!$H$1882+'[1]JUNIO 2016'!$H$1885+'[1]JUNIO 2016'!$H$1901+'[1]JUNIO 2016'!$H$1902+'[1]JUNIO 2016'!$H$1906</f>
        <v>162882922</v>
      </c>
      <c r="CI64" s="27"/>
      <c r="CJ64" s="27"/>
      <c r="CK64" s="27"/>
      <c r="CL64" s="27"/>
      <c r="CM64" s="27"/>
      <c r="CN64" s="27"/>
      <c r="CO64" s="27"/>
      <c r="CP64" s="27"/>
      <c r="CQ64" s="29">
        <f t="shared" si="79"/>
        <v>0.35950345840290965</v>
      </c>
      <c r="CR64" s="27">
        <f t="shared" si="80"/>
        <v>130104820</v>
      </c>
      <c r="CS64" s="27">
        <f t="shared" si="81"/>
        <v>0</v>
      </c>
      <c r="CT64" s="27">
        <f t="shared" si="81"/>
        <v>0</v>
      </c>
      <c r="CU64" s="27">
        <f t="shared" si="81"/>
        <v>0</v>
      </c>
      <c r="CV64" s="27">
        <f t="shared" si="81"/>
        <v>0</v>
      </c>
      <c r="CW64" s="27">
        <f t="shared" si="81"/>
        <v>92987742</v>
      </c>
      <c r="CX64" s="27">
        <f t="shared" si="81"/>
        <v>0</v>
      </c>
      <c r="CY64" s="27">
        <f t="shared" si="81"/>
        <v>0</v>
      </c>
      <c r="CZ64" s="27">
        <f t="shared" si="82"/>
        <v>0</v>
      </c>
      <c r="DA64" s="27">
        <f t="shared" si="82"/>
        <v>0</v>
      </c>
      <c r="DB64" s="27">
        <f t="shared" si="82"/>
        <v>0</v>
      </c>
      <c r="DC64" s="27">
        <f t="shared" si="83"/>
        <v>0</v>
      </c>
      <c r="DD64" s="27">
        <f t="shared" si="83"/>
        <v>37117078</v>
      </c>
      <c r="DE64" s="27">
        <f t="shared" si="83"/>
        <v>0</v>
      </c>
      <c r="DF64" s="27">
        <f t="shared" si="84"/>
        <v>0</v>
      </c>
      <c r="DG64" s="27">
        <f t="shared" si="84"/>
        <v>0</v>
      </c>
      <c r="DH64" s="27">
        <f t="shared" si="84"/>
        <v>0</v>
      </c>
      <c r="DI64" s="27"/>
      <c r="DJ64" s="27">
        <f t="shared" si="85"/>
        <v>0</v>
      </c>
      <c r="DK64" s="61">
        <f t="shared" si="85"/>
        <v>0</v>
      </c>
      <c r="DL64" s="27">
        <f t="shared" si="85"/>
        <v>0</v>
      </c>
      <c r="DN64" s="33">
        <f t="shared" si="19"/>
        <v>361901442</v>
      </c>
      <c r="DO64" s="33">
        <f t="shared" si="20"/>
        <v>361901442</v>
      </c>
      <c r="DP64" s="33">
        <f t="shared" si="21"/>
        <v>361901442</v>
      </c>
    </row>
    <row r="65" spans="1:120" ht="30.75" customHeight="1" x14ac:dyDescent="0.25">
      <c r="A65" s="227"/>
      <c r="B65" s="230"/>
      <c r="C65" s="23" t="s">
        <v>193</v>
      </c>
      <c r="D65" s="24" t="s">
        <v>194</v>
      </c>
      <c r="E65" s="25">
        <v>520</v>
      </c>
      <c r="F65" s="26" t="s">
        <v>195</v>
      </c>
      <c r="G65" s="27">
        <f t="shared" si="70"/>
        <v>11000000</v>
      </c>
      <c r="H65" s="27"/>
      <c r="I65" s="39"/>
      <c r="J65" s="39"/>
      <c r="K65" s="39"/>
      <c r="L65" s="39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>
        <f>8000000+3000000</f>
        <v>11000000</v>
      </c>
      <c r="AC65" s="29">
        <f t="shared" si="1"/>
        <v>0.72727272727272729</v>
      </c>
      <c r="AD65" s="27">
        <f t="shared" si="71"/>
        <v>8000000</v>
      </c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>
        <f>+'[1]JUNIO 2016'!$AG$1918</f>
        <v>8000000</v>
      </c>
      <c r="AY65" s="29">
        <f t="shared" si="3"/>
        <v>0.27272727272727271</v>
      </c>
      <c r="AZ65" s="27">
        <f t="shared" si="72"/>
        <v>3000000</v>
      </c>
      <c r="BA65" s="27">
        <f t="shared" si="73"/>
        <v>0</v>
      </c>
      <c r="BB65" s="27">
        <f t="shared" si="74"/>
        <v>0</v>
      </c>
      <c r="BC65" s="27">
        <f t="shared" si="74"/>
        <v>0</v>
      </c>
      <c r="BD65" s="27">
        <f t="shared" si="74"/>
        <v>0</v>
      </c>
      <c r="BE65" s="27">
        <f t="shared" si="75"/>
        <v>0</v>
      </c>
      <c r="BF65" s="27">
        <f t="shared" si="75"/>
        <v>0</v>
      </c>
      <c r="BG65" s="27">
        <f t="shared" si="75"/>
        <v>0</v>
      </c>
      <c r="BH65" s="27">
        <f>O65-AL65</f>
        <v>0</v>
      </c>
      <c r="BI65" s="27">
        <f t="shared" si="75"/>
        <v>0</v>
      </c>
      <c r="BJ65" s="27">
        <f t="shared" si="75"/>
        <v>0</v>
      </c>
      <c r="BK65" s="27">
        <f t="shared" si="75"/>
        <v>0</v>
      </c>
      <c r="BL65" s="27">
        <f t="shared" si="75"/>
        <v>0</v>
      </c>
      <c r="BM65" s="27">
        <f t="shared" si="75"/>
        <v>0</v>
      </c>
      <c r="BN65" s="27">
        <f>U65-AR65</f>
        <v>0</v>
      </c>
      <c r="BO65" s="27">
        <f t="shared" si="75"/>
        <v>0</v>
      </c>
      <c r="BP65" s="27">
        <f t="shared" si="75"/>
        <v>0</v>
      </c>
      <c r="BQ65" s="27"/>
      <c r="BR65" s="27"/>
      <c r="BS65" s="27">
        <f t="shared" si="76"/>
        <v>0</v>
      </c>
      <c r="BT65" s="27">
        <f t="shared" si="77"/>
        <v>3000000</v>
      </c>
      <c r="BU65" s="29">
        <f t="shared" si="10"/>
        <v>0.46963209090909092</v>
      </c>
      <c r="BV65" s="27">
        <f t="shared" si="78"/>
        <v>5165953</v>
      </c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>
        <f>+'[1]JUNIO 2016'!$H$1916</f>
        <v>5165953</v>
      </c>
      <c r="CQ65" s="29">
        <f t="shared" si="79"/>
        <v>0.53036790909090903</v>
      </c>
      <c r="CR65" s="27">
        <f t="shared" si="80"/>
        <v>5834047</v>
      </c>
      <c r="CS65" s="27">
        <f t="shared" si="81"/>
        <v>0</v>
      </c>
      <c r="CT65" s="27">
        <f t="shared" si="81"/>
        <v>0</v>
      </c>
      <c r="CU65" s="27">
        <f t="shared" si="81"/>
        <v>0</v>
      </c>
      <c r="CV65" s="27">
        <f t="shared" si="81"/>
        <v>0</v>
      </c>
      <c r="CW65" s="27">
        <f t="shared" si="81"/>
        <v>0</v>
      </c>
      <c r="CX65" s="27">
        <f t="shared" si="81"/>
        <v>0</v>
      </c>
      <c r="CY65" s="27">
        <f t="shared" si="81"/>
        <v>0</v>
      </c>
      <c r="CZ65" s="27">
        <f t="shared" si="82"/>
        <v>0</v>
      </c>
      <c r="DA65" s="27">
        <f t="shared" si="82"/>
        <v>0</v>
      </c>
      <c r="DB65" s="27">
        <f t="shared" si="82"/>
        <v>0</v>
      </c>
      <c r="DC65" s="27">
        <f t="shared" si="83"/>
        <v>0</v>
      </c>
      <c r="DD65" s="27">
        <f t="shared" si="83"/>
        <v>0</v>
      </c>
      <c r="DE65" s="27">
        <f t="shared" si="83"/>
        <v>0</v>
      </c>
      <c r="DF65" s="27">
        <f t="shared" si="84"/>
        <v>0</v>
      </c>
      <c r="DG65" s="27">
        <f t="shared" si="84"/>
        <v>0</v>
      </c>
      <c r="DH65" s="27">
        <f t="shared" si="84"/>
        <v>0</v>
      </c>
      <c r="DI65" s="27"/>
      <c r="DJ65" s="27">
        <f t="shared" si="85"/>
        <v>0</v>
      </c>
      <c r="DK65" s="61">
        <f t="shared" si="85"/>
        <v>0</v>
      </c>
      <c r="DL65" s="27">
        <f t="shared" si="85"/>
        <v>5834047</v>
      </c>
      <c r="DN65" s="33">
        <f t="shared" si="19"/>
        <v>11000000</v>
      </c>
      <c r="DO65" s="33">
        <f t="shared" si="20"/>
        <v>11000000</v>
      </c>
      <c r="DP65" s="33">
        <f t="shared" si="21"/>
        <v>11000000</v>
      </c>
    </row>
    <row r="66" spans="1:120" ht="20.25" customHeight="1" x14ac:dyDescent="0.25">
      <c r="A66" s="227"/>
      <c r="B66" s="230"/>
      <c r="C66" s="23" t="s">
        <v>196</v>
      </c>
      <c r="D66" s="24" t="s">
        <v>197</v>
      </c>
      <c r="E66" s="25">
        <v>520</v>
      </c>
      <c r="F66" s="26" t="s">
        <v>198</v>
      </c>
      <c r="G66" s="27">
        <f t="shared" si="70"/>
        <v>5000000</v>
      </c>
      <c r="H66" s="27"/>
      <c r="I66" s="39"/>
      <c r="J66" s="39"/>
      <c r="K66" s="39"/>
      <c r="L66" s="39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>
        <v>5000000</v>
      </c>
      <c r="AC66" s="29">
        <f t="shared" si="1"/>
        <v>1</v>
      </c>
      <c r="AD66" s="27">
        <f t="shared" si="71"/>
        <v>5000000</v>
      </c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>
        <f>+'[3]MAYO 2016'!$AG$1678</f>
        <v>5000000</v>
      </c>
      <c r="AY66" s="29">
        <f t="shared" si="3"/>
        <v>0</v>
      </c>
      <c r="AZ66" s="27">
        <f t="shared" si="72"/>
        <v>0</v>
      </c>
      <c r="BA66" s="27">
        <f t="shared" si="73"/>
        <v>0</v>
      </c>
      <c r="BB66" s="27">
        <f t="shared" si="74"/>
        <v>0</v>
      </c>
      <c r="BC66" s="27">
        <f t="shared" si="74"/>
        <v>0</v>
      </c>
      <c r="BD66" s="27">
        <f t="shared" si="74"/>
        <v>0</v>
      </c>
      <c r="BE66" s="27">
        <f t="shared" si="75"/>
        <v>0</v>
      </c>
      <c r="BF66" s="27">
        <f t="shared" si="75"/>
        <v>0</v>
      </c>
      <c r="BG66" s="27">
        <f t="shared" si="75"/>
        <v>0</v>
      </c>
      <c r="BH66" s="27">
        <f>O66-AL66</f>
        <v>0</v>
      </c>
      <c r="BI66" s="27">
        <f t="shared" si="75"/>
        <v>0</v>
      </c>
      <c r="BJ66" s="27">
        <f t="shared" si="75"/>
        <v>0</v>
      </c>
      <c r="BK66" s="27">
        <f t="shared" si="75"/>
        <v>0</v>
      </c>
      <c r="BL66" s="27">
        <f t="shared" si="75"/>
        <v>0</v>
      </c>
      <c r="BM66" s="27">
        <f t="shared" si="75"/>
        <v>0</v>
      </c>
      <c r="BN66" s="27">
        <f>U66-AR66</f>
        <v>0</v>
      </c>
      <c r="BO66" s="27">
        <f t="shared" si="75"/>
        <v>0</v>
      </c>
      <c r="BP66" s="27">
        <f t="shared" si="75"/>
        <v>0</v>
      </c>
      <c r="BQ66" s="27"/>
      <c r="BR66" s="27"/>
      <c r="BS66" s="27">
        <f t="shared" si="76"/>
        <v>0</v>
      </c>
      <c r="BT66" s="27">
        <f t="shared" si="77"/>
        <v>0</v>
      </c>
      <c r="BU66" s="29">
        <f t="shared" si="10"/>
        <v>0.99863999999999997</v>
      </c>
      <c r="BV66" s="27">
        <f t="shared" si="78"/>
        <v>4993200</v>
      </c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>
        <f>+'[3]MAYO 2016'!$H$1676</f>
        <v>4993200</v>
      </c>
      <c r="CQ66" s="29">
        <f t="shared" si="79"/>
        <v>1.3600000000000279E-3</v>
      </c>
      <c r="CR66" s="27">
        <f t="shared" si="80"/>
        <v>6800</v>
      </c>
      <c r="CS66" s="27">
        <f t="shared" si="81"/>
        <v>0</v>
      </c>
      <c r="CT66" s="27">
        <f t="shared" si="81"/>
        <v>0</v>
      </c>
      <c r="CU66" s="27">
        <f t="shared" si="81"/>
        <v>0</v>
      </c>
      <c r="CV66" s="27">
        <f t="shared" si="81"/>
        <v>0</v>
      </c>
      <c r="CW66" s="27">
        <f t="shared" si="81"/>
        <v>0</v>
      </c>
      <c r="CX66" s="27">
        <f t="shared" si="81"/>
        <v>0</v>
      </c>
      <c r="CY66" s="27">
        <f t="shared" si="81"/>
        <v>0</v>
      </c>
      <c r="CZ66" s="27">
        <f t="shared" si="82"/>
        <v>0</v>
      </c>
      <c r="DA66" s="27">
        <f t="shared" si="82"/>
        <v>0</v>
      </c>
      <c r="DB66" s="27">
        <f t="shared" si="82"/>
        <v>0</v>
      </c>
      <c r="DC66" s="27">
        <f t="shared" si="83"/>
        <v>0</v>
      </c>
      <c r="DD66" s="27">
        <f t="shared" si="83"/>
        <v>0</v>
      </c>
      <c r="DE66" s="27">
        <f t="shared" si="83"/>
        <v>0</v>
      </c>
      <c r="DF66" s="27">
        <f t="shared" si="84"/>
        <v>0</v>
      </c>
      <c r="DG66" s="27">
        <f t="shared" si="84"/>
        <v>0</v>
      </c>
      <c r="DH66" s="27">
        <f t="shared" si="84"/>
        <v>0</v>
      </c>
      <c r="DI66" s="27"/>
      <c r="DJ66" s="27">
        <f t="shared" si="85"/>
        <v>0</v>
      </c>
      <c r="DK66" s="61">
        <f t="shared" si="85"/>
        <v>0</v>
      </c>
      <c r="DL66" s="27">
        <f t="shared" si="85"/>
        <v>6800</v>
      </c>
      <c r="DN66" s="33">
        <f t="shared" si="19"/>
        <v>5000000</v>
      </c>
      <c r="DO66" s="33">
        <f t="shared" si="20"/>
        <v>5000000</v>
      </c>
      <c r="DP66" s="33">
        <f t="shared" si="21"/>
        <v>5000000</v>
      </c>
    </row>
    <row r="67" spans="1:120" ht="24" customHeight="1" x14ac:dyDescent="0.25">
      <c r="A67" s="227"/>
      <c r="B67" s="230"/>
      <c r="C67" s="23" t="s">
        <v>199</v>
      </c>
      <c r="D67" s="24" t="s">
        <v>200</v>
      </c>
      <c r="E67" s="25">
        <v>520</v>
      </c>
      <c r="F67" s="26" t="s">
        <v>198</v>
      </c>
      <c r="G67" s="27">
        <f t="shared" si="70"/>
        <v>7000000</v>
      </c>
      <c r="H67" s="27"/>
      <c r="I67" s="39"/>
      <c r="J67" s="39"/>
      <c r="K67" s="39"/>
      <c r="L67" s="39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>
        <v>7000000</v>
      </c>
      <c r="AB67" s="64"/>
      <c r="AC67" s="29">
        <f t="shared" si="1"/>
        <v>0</v>
      </c>
      <c r="AD67" s="27">
        <f t="shared" si="71"/>
        <v>0</v>
      </c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9">
        <f t="shared" si="3"/>
        <v>1</v>
      </c>
      <c r="AZ67" s="27">
        <f t="shared" si="72"/>
        <v>7000000</v>
      </c>
      <c r="BA67" s="27">
        <f t="shared" si="73"/>
        <v>0</v>
      </c>
      <c r="BB67" s="27">
        <f t="shared" si="74"/>
        <v>0</v>
      </c>
      <c r="BC67" s="27">
        <f t="shared" si="74"/>
        <v>0</v>
      </c>
      <c r="BD67" s="27">
        <f t="shared" si="74"/>
        <v>0</v>
      </c>
      <c r="BE67" s="27">
        <f t="shared" si="75"/>
        <v>0</v>
      </c>
      <c r="BF67" s="27">
        <f t="shared" si="75"/>
        <v>0</v>
      </c>
      <c r="BG67" s="27">
        <f t="shared" si="75"/>
        <v>0</v>
      </c>
      <c r="BH67" s="27">
        <f>+O67-AL67</f>
        <v>0</v>
      </c>
      <c r="BI67" s="27">
        <f t="shared" si="75"/>
        <v>0</v>
      </c>
      <c r="BJ67" s="27">
        <f t="shared" si="75"/>
        <v>0</v>
      </c>
      <c r="BK67" s="27">
        <f t="shared" si="75"/>
        <v>0</v>
      </c>
      <c r="BL67" s="27">
        <f t="shared" si="75"/>
        <v>0</v>
      </c>
      <c r="BM67" s="27">
        <f t="shared" si="75"/>
        <v>0</v>
      </c>
      <c r="BN67" s="27">
        <f>+U67-AR67</f>
        <v>0</v>
      </c>
      <c r="BO67" s="27">
        <f t="shared" si="75"/>
        <v>0</v>
      </c>
      <c r="BP67" s="27">
        <f t="shared" si="75"/>
        <v>0</v>
      </c>
      <c r="BQ67" s="27"/>
      <c r="BR67" s="27">
        <f>+Y67-AV67</f>
        <v>0</v>
      </c>
      <c r="BS67" s="27">
        <f t="shared" si="76"/>
        <v>0</v>
      </c>
      <c r="BT67" s="27">
        <f t="shared" si="77"/>
        <v>7000000</v>
      </c>
      <c r="BU67" s="29">
        <f t="shared" si="10"/>
        <v>0</v>
      </c>
      <c r="BV67" s="27">
        <f t="shared" si="78"/>
        <v>0</v>
      </c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9">
        <f t="shared" si="79"/>
        <v>1</v>
      </c>
      <c r="CR67" s="27">
        <f t="shared" si="80"/>
        <v>7000000</v>
      </c>
      <c r="CS67" s="27">
        <f t="shared" si="81"/>
        <v>0</v>
      </c>
      <c r="CT67" s="27">
        <f t="shared" si="81"/>
        <v>0</v>
      </c>
      <c r="CU67" s="27">
        <f t="shared" si="81"/>
        <v>0</v>
      </c>
      <c r="CV67" s="27">
        <f t="shared" si="81"/>
        <v>0</v>
      </c>
      <c r="CW67" s="27">
        <f t="shared" si="81"/>
        <v>0</v>
      </c>
      <c r="CX67" s="27">
        <f t="shared" si="81"/>
        <v>0</v>
      </c>
      <c r="CY67" s="27">
        <f t="shared" si="81"/>
        <v>0</v>
      </c>
      <c r="CZ67" s="27">
        <f t="shared" si="82"/>
        <v>0</v>
      </c>
      <c r="DA67" s="27">
        <f t="shared" si="82"/>
        <v>0</v>
      </c>
      <c r="DB67" s="27">
        <f t="shared" si="82"/>
        <v>0</v>
      </c>
      <c r="DC67" s="27">
        <f t="shared" si="83"/>
        <v>0</v>
      </c>
      <c r="DD67" s="27">
        <f t="shared" si="83"/>
        <v>0</v>
      </c>
      <c r="DE67" s="27">
        <f t="shared" si="83"/>
        <v>0</v>
      </c>
      <c r="DF67" s="27">
        <f t="shared" si="84"/>
        <v>0</v>
      </c>
      <c r="DG67" s="27">
        <f t="shared" si="84"/>
        <v>0</v>
      </c>
      <c r="DH67" s="27">
        <f t="shared" si="84"/>
        <v>0</v>
      </c>
      <c r="DI67" s="27"/>
      <c r="DJ67" s="27">
        <f t="shared" si="85"/>
        <v>0</v>
      </c>
      <c r="DK67" s="61">
        <f t="shared" si="85"/>
        <v>0</v>
      </c>
      <c r="DL67" s="27">
        <f t="shared" si="85"/>
        <v>7000000</v>
      </c>
      <c r="DN67" s="33">
        <f t="shared" si="19"/>
        <v>7000000</v>
      </c>
      <c r="DO67" s="33">
        <f t="shared" si="20"/>
        <v>7000000</v>
      </c>
      <c r="DP67" s="33">
        <f t="shared" si="21"/>
        <v>7000000</v>
      </c>
    </row>
    <row r="68" spans="1:120" ht="76.5" customHeight="1" x14ac:dyDescent="0.25">
      <c r="A68" s="227"/>
      <c r="B68" s="230"/>
      <c r="C68" s="23" t="s">
        <v>201</v>
      </c>
      <c r="D68" s="24" t="s">
        <v>202</v>
      </c>
      <c r="E68" s="25">
        <v>520</v>
      </c>
      <c r="F68" s="26" t="s">
        <v>203</v>
      </c>
      <c r="G68" s="27">
        <f t="shared" si="70"/>
        <v>377038998</v>
      </c>
      <c r="H68" s="27"/>
      <c r="I68" s="39"/>
      <c r="J68" s="39"/>
      <c r="K68" s="39"/>
      <c r="L68" s="39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>
        <f>267022558+25000000+11804220+35899362+2954659+41266345-11804220+4000000+896074</f>
        <v>377038998</v>
      </c>
      <c r="AB68" s="64"/>
      <c r="AC68" s="29">
        <f t="shared" ref="AC68:AC91" si="86">+AD68/G68</f>
        <v>0.94435827033467767</v>
      </c>
      <c r="AD68" s="27">
        <f t="shared" si="71"/>
        <v>356059896</v>
      </c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>
        <f>+'[1]JUNIO 2016'!$AG$1953</f>
        <v>356059896</v>
      </c>
      <c r="AY68" s="29">
        <f t="shared" ref="AY68:AY91" si="87">1-AC68</f>
        <v>5.5641729665322326E-2</v>
      </c>
      <c r="AZ68" s="27">
        <f t="shared" si="72"/>
        <v>20979102</v>
      </c>
      <c r="BA68" s="27">
        <f t="shared" si="73"/>
        <v>0</v>
      </c>
      <c r="BB68" s="27">
        <f t="shared" si="74"/>
        <v>0</v>
      </c>
      <c r="BC68" s="27">
        <f t="shared" si="74"/>
        <v>0</v>
      </c>
      <c r="BD68" s="27">
        <f t="shared" si="74"/>
        <v>0</v>
      </c>
      <c r="BE68" s="27">
        <f t="shared" si="75"/>
        <v>0</v>
      </c>
      <c r="BF68" s="27">
        <f t="shared" si="75"/>
        <v>0</v>
      </c>
      <c r="BG68" s="27">
        <f t="shared" si="75"/>
        <v>0</v>
      </c>
      <c r="BH68" s="27">
        <f>+O68-AL68</f>
        <v>0</v>
      </c>
      <c r="BI68" s="27">
        <f t="shared" si="75"/>
        <v>0</v>
      </c>
      <c r="BJ68" s="27">
        <f t="shared" si="75"/>
        <v>0</v>
      </c>
      <c r="BK68" s="27">
        <f t="shared" si="75"/>
        <v>0</v>
      </c>
      <c r="BL68" s="27">
        <f t="shared" si="75"/>
        <v>0</v>
      </c>
      <c r="BM68" s="27">
        <f t="shared" si="75"/>
        <v>0</v>
      </c>
      <c r="BN68" s="27">
        <f>+U68-AR68</f>
        <v>0</v>
      </c>
      <c r="BO68" s="27">
        <f t="shared" si="75"/>
        <v>0</v>
      </c>
      <c r="BP68" s="27">
        <f t="shared" si="75"/>
        <v>0</v>
      </c>
      <c r="BQ68" s="27"/>
      <c r="BR68" s="27"/>
      <c r="BS68" s="27">
        <f t="shared" si="76"/>
        <v>0</v>
      </c>
      <c r="BT68" s="27">
        <f t="shared" si="77"/>
        <v>20979102</v>
      </c>
      <c r="BU68" s="29">
        <f t="shared" ref="BU68:BU91" si="88">+BV68/G68</f>
        <v>0.65273399384537933</v>
      </c>
      <c r="BV68" s="27">
        <f t="shared" si="78"/>
        <v>246106171</v>
      </c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>
        <f>+'[1]JUNIO 2016'!$H$1951</f>
        <v>246106171</v>
      </c>
      <c r="CQ68" s="29">
        <f t="shared" si="79"/>
        <v>0.34726600615462067</v>
      </c>
      <c r="CR68" s="27">
        <f t="shared" si="80"/>
        <v>130932827</v>
      </c>
      <c r="CS68" s="27">
        <f t="shared" si="81"/>
        <v>0</v>
      </c>
      <c r="CT68" s="27">
        <f t="shared" si="81"/>
        <v>0</v>
      </c>
      <c r="CU68" s="27">
        <f t="shared" si="81"/>
        <v>0</v>
      </c>
      <c r="CV68" s="27">
        <f t="shared" si="81"/>
        <v>0</v>
      </c>
      <c r="CW68" s="27">
        <f t="shared" si="81"/>
        <v>0</v>
      </c>
      <c r="CX68" s="27">
        <f t="shared" si="81"/>
        <v>0</v>
      </c>
      <c r="CY68" s="27">
        <f t="shared" si="81"/>
        <v>0</v>
      </c>
      <c r="CZ68" s="27">
        <f t="shared" si="82"/>
        <v>0</v>
      </c>
      <c r="DA68" s="27">
        <f t="shared" si="82"/>
        <v>0</v>
      </c>
      <c r="DB68" s="27">
        <f t="shared" si="82"/>
        <v>0</v>
      </c>
      <c r="DC68" s="27">
        <f t="shared" si="83"/>
        <v>0</v>
      </c>
      <c r="DD68" s="27">
        <f t="shared" si="83"/>
        <v>0</v>
      </c>
      <c r="DE68" s="27">
        <f t="shared" si="83"/>
        <v>0</v>
      </c>
      <c r="DF68" s="27">
        <f t="shared" si="84"/>
        <v>0</v>
      </c>
      <c r="DG68" s="27">
        <f t="shared" si="84"/>
        <v>0</v>
      </c>
      <c r="DH68" s="27">
        <f t="shared" si="84"/>
        <v>0</v>
      </c>
      <c r="DI68" s="27"/>
      <c r="DJ68" s="27">
        <f t="shared" si="85"/>
        <v>0</v>
      </c>
      <c r="DK68" s="61">
        <f t="shared" si="85"/>
        <v>0</v>
      </c>
      <c r="DL68" s="27">
        <f t="shared" si="85"/>
        <v>130932827</v>
      </c>
      <c r="DN68" s="33">
        <f t="shared" ref="DN68:DN131" si="89">+G68</f>
        <v>377038998</v>
      </c>
      <c r="DO68" s="33">
        <f t="shared" ref="DO68:DO131" si="90">+AD68+AZ68</f>
        <v>377038998</v>
      </c>
      <c r="DP68" s="33">
        <f t="shared" ref="DP68:DP131" si="91">+BV68+CR68</f>
        <v>377038998</v>
      </c>
    </row>
    <row r="69" spans="1:120" ht="36" customHeight="1" x14ac:dyDescent="0.25">
      <c r="A69" s="227"/>
      <c r="B69" s="230"/>
      <c r="C69" s="23" t="s">
        <v>204</v>
      </c>
      <c r="D69" s="24" t="s">
        <v>205</v>
      </c>
      <c r="E69" s="25">
        <v>520</v>
      </c>
      <c r="F69" s="26" t="s">
        <v>89</v>
      </c>
      <c r="G69" s="27">
        <f t="shared" si="70"/>
        <v>20000000</v>
      </c>
      <c r="H69" s="27"/>
      <c r="I69" s="39"/>
      <c r="J69" s="39"/>
      <c r="K69" s="39"/>
      <c r="L69" s="27">
        <v>20000000</v>
      </c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64"/>
      <c r="AC69" s="29">
        <f t="shared" si="86"/>
        <v>0</v>
      </c>
      <c r="AD69" s="27">
        <f t="shared" si="71"/>
        <v>0</v>
      </c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9">
        <f t="shared" si="87"/>
        <v>1</v>
      </c>
      <c r="AZ69" s="27">
        <f t="shared" si="72"/>
        <v>20000000</v>
      </c>
      <c r="BA69" s="27">
        <f t="shared" si="73"/>
        <v>0</v>
      </c>
      <c r="BB69" s="27">
        <f t="shared" si="74"/>
        <v>0</v>
      </c>
      <c r="BC69" s="27">
        <f t="shared" si="74"/>
        <v>0</v>
      </c>
      <c r="BD69" s="27">
        <f t="shared" si="74"/>
        <v>0</v>
      </c>
      <c r="BE69" s="27">
        <f t="shared" si="74"/>
        <v>20000000</v>
      </c>
      <c r="BF69" s="27">
        <f t="shared" si="74"/>
        <v>0</v>
      </c>
      <c r="BG69" s="27">
        <f t="shared" si="74"/>
        <v>0</v>
      </c>
      <c r="BH69" s="27">
        <f t="shared" si="74"/>
        <v>0</v>
      </c>
      <c r="BI69" s="27">
        <f t="shared" si="74"/>
        <v>0</v>
      </c>
      <c r="BJ69" s="27">
        <f t="shared" si="74"/>
        <v>0</v>
      </c>
      <c r="BK69" s="27">
        <f t="shared" si="74"/>
        <v>0</v>
      </c>
      <c r="BL69" s="27">
        <f t="shared" si="74"/>
        <v>0</v>
      </c>
      <c r="BM69" s="27">
        <f t="shared" si="74"/>
        <v>0</v>
      </c>
      <c r="BN69" s="27">
        <f t="shared" si="74"/>
        <v>0</v>
      </c>
      <c r="BO69" s="27">
        <f t="shared" si="74"/>
        <v>0</v>
      </c>
      <c r="BP69" s="27">
        <f t="shared" si="74"/>
        <v>0</v>
      </c>
      <c r="BQ69" s="27"/>
      <c r="BR69" s="27">
        <f>Y69-AV69</f>
        <v>0</v>
      </c>
      <c r="BS69" s="27">
        <f t="shared" si="76"/>
        <v>0</v>
      </c>
      <c r="BT69" s="27">
        <f>AA69-AX69</f>
        <v>0</v>
      </c>
      <c r="BU69" s="29">
        <f t="shared" si="88"/>
        <v>0</v>
      </c>
      <c r="BV69" s="27">
        <f t="shared" si="78"/>
        <v>0</v>
      </c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9">
        <f t="shared" si="79"/>
        <v>1</v>
      </c>
      <c r="CR69" s="27">
        <f t="shared" si="80"/>
        <v>20000000</v>
      </c>
      <c r="CS69" s="27">
        <f t="shared" si="81"/>
        <v>0</v>
      </c>
      <c r="CT69" s="27">
        <f t="shared" si="81"/>
        <v>0</v>
      </c>
      <c r="CU69" s="27">
        <f t="shared" si="81"/>
        <v>0</v>
      </c>
      <c r="CV69" s="27">
        <f t="shared" si="81"/>
        <v>0</v>
      </c>
      <c r="CW69" s="27">
        <f t="shared" si="81"/>
        <v>20000000</v>
      </c>
      <c r="CX69" s="27">
        <f t="shared" si="81"/>
        <v>0</v>
      </c>
      <c r="CY69" s="27">
        <f t="shared" si="81"/>
        <v>0</v>
      </c>
      <c r="CZ69" s="27">
        <f t="shared" si="81"/>
        <v>0</v>
      </c>
      <c r="DA69" s="27">
        <f t="shared" si="81"/>
        <v>0</v>
      </c>
      <c r="DB69" s="27">
        <f t="shared" si="81"/>
        <v>0</v>
      </c>
      <c r="DC69" s="27">
        <f t="shared" si="83"/>
        <v>0</v>
      </c>
      <c r="DD69" s="27">
        <f t="shared" si="83"/>
        <v>0</v>
      </c>
      <c r="DE69" s="27">
        <f t="shared" si="83"/>
        <v>0</v>
      </c>
      <c r="DF69" s="27">
        <f t="shared" si="83"/>
        <v>0</v>
      </c>
      <c r="DG69" s="27">
        <f t="shared" si="83"/>
        <v>0</v>
      </c>
      <c r="DH69" s="27">
        <f t="shared" si="83"/>
        <v>0</v>
      </c>
      <c r="DI69" s="27"/>
      <c r="DJ69" s="27">
        <f t="shared" ref="DJ69:DL70" si="92">Y69-CN69</f>
        <v>0</v>
      </c>
      <c r="DK69" s="27">
        <f t="shared" si="92"/>
        <v>0</v>
      </c>
      <c r="DL69" s="27">
        <f t="shared" si="92"/>
        <v>0</v>
      </c>
      <c r="DN69" s="33">
        <f t="shared" si="89"/>
        <v>20000000</v>
      </c>
      <c r="DO69" s="33">
        <f t="shared" si="90"/>
        <v>20000000</v>
      </c>
      <c r="DP69" s="33">
        <f t="shared" si="91"/>
        <v>20000000</v>
      </c>
    </row>
    <row r="70" spans="1:120" ht="34.5" customHeight="1" x14ac:dyDescent="0.25">
      <c r="A70" s="228"/>
      <c r="B70" s="231"/>
      <c r="C70" s="23" t="s">
        <v>206</v>
      </c>
      <c r="D70" s="24" t="s">
        <v>207</v>
      </c>
      <c r="E70" s="25">
        <v>520</v>
      </c>
      <c r="F70" s="26" t="s">
        <v>89</v>
      </c>
      <c r="G70" s="27">
        <f t="shared" si="70"/>
        <v>20000000</v>
      </c>
      <c r="H70" s="27"/>
      <c r="I70" s="39"/>
      <c r="J70" s="39"/>
      <c r="K70" s="39"/>
      <c r="L70" s="27">
        <v>20000000</v>
      </c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64"/>
      <c r="AC70" s="29">
        <f t="shared" si="86"/>
        <v>0.76</v>
      </c>
      <c r="AD70" s="27">
        <f t="shared" si="71"/>
        <v>15200000</v>
      </c>
      <c r="AE70" s="27"/>
      <c r="AF70" s="27"/>
      <c r="AG70" s="27"/>
      <c r="AH70" s="27"/>
      <c r="AI70" s="27">
        <f>+'[4]ABRIL 2016'!$O$1527</f>
        <v>15200000</v>
      </c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9">
        <f t="shared" si="87"/>
        <v>0.24</v>
      </c>
      <c r="AZ70" s="27">
        <f t="shared" si="72"/>
        <v>4800000</v>
      </c>
      <c r="BA70" s="27">
        <f t="shared" si="73"/>
        <v>0</v>
      </c>
      <c r="BB70" s="27">
        <f t="shared" si="74"/>
        <v>0</v>
      </c>
      <c r="BC70" s="27">
        <f t="shared" si="74"/>
        <v>0</v>
      </c>
      <c r="BD70" s="27">
        <f t="shared" si="74"/>
        <v>0</v>
      </c>
      <c r="BE70" s="27">
        <f t="shared" si="74"/>
        <v>4800000</v>
      </c>
      <c r="BF70" s="27">
        <f t="shared" si="74"/>
        <v>0</v>
      </c>
      <c r="BG70" s="27">
        <f t="shared" si="74"/>
        <v>0</v>
      </c>
      <c r="BH70" s="27">
        <f t="shared" si="74"/>
        <v>0</v>
      </c>
      <c r="BI70" s="27">
        <f t="shared" si="74"/>
        <v>0</v>
      </c>
      <c r="BJ70" s="27">
        <f t="shared" si="74"/>
        <v>0</v>
      </c>
      <c r="BK70" s="27">
        <f t="shared" si="74"/>
        <v>0</v>
      </c>
      <c r="BL70" s="27">
        <f t="shared" si="74"/>
        <v>0</v>
      </c>
      <c r="BM70" s="27">
        <f t="shared" si="74"/>
        <v>0</v>
      </c>
      <c r="BN70" s="27">
        <f t="shared" si="74"/>
        <v>0</v>
      </c>
      <c r="BO70" s="27">
        <f t="shared" si="74"/>
        <v>0</v>
      </c>
      <c r="BP70" s="27">
        <f t="shared" si="74"/>
        <v>0</v>
      </c>
      <c r="BQ70" s="27"/>
      <c r="BR70" s="27">
        <f>Y70-AV70</f>
        <v>0</v>
      </c>
      <c r="BS70" s="27">
        <f t="shared" si="76"/>
        <v>0</v>
      </c>
      <c r="BT70" s="27">
        <f>AA70-AX70</f>
        <v>0</v>
      </c>
      <c r="BU70" s="29">
        <f t="shared" si="88"/>
        <v>0.62436239999999998</v>
      </c>
      <c r="BV70" s="27">
        <f t="shared" si="78"/>
        <v>12487248</v>
      </c>
      <c r="BW70" s="27"/>
      <c r="BX70" s="27"/>
      <c r="BY70" s="27"/>
      <c r="BZ70" s="27"/>
      <c r="CA70" s="27">
        <f>+'[3]MAYO 2016'!$H$1761</f>
        <v>12487248</v>
      </c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9">
        <f t="shared" si="79"/>
        <v>0.37563760000000002</v>
      </c>
      <c r="CR70" s="27">
        <f t="shared" si="80"/>
        <v>7512752</v>
      </c>
      <c r="CS70" s="27">
        <f t="shared" si="81"/>
        <v>0</v>
      </c>
      <c r="CT70" s="27">
        <f t="shared" si="81"/>
        <v>0</v>
      </c>
      <c r="CU70" s="27">
        <f t="shared" si="81"/>
        <v>0</v>
      </c>
      <c r="CV70" s="27">
        <f t="shared" si="81"/>
        <v>0</v>
      </c>
      <c r="CW70" s="27">
        <f t="shared" si="81"/>
        <v>7512752</v>
      </c>
      <c r="CX70" s="27">
        <f t="shared" si="81"/>
        <v>0</v>
      </c>
      <c r="CY70" s="27">
        <f t="shared" si="81"/>
        <v>0</v>
      </c>
      <c r="CZ70" s="27">
        <f t="shared" si="81"/>
        <v>0</v>
      </c>
      <c r="DA70" s="27">
        <f t="shared" si="81"/>
        <v>0</v>
      </c>
      <c r="DB70" s="27">
        <f t="shared" si="81"/>
        <v>0</v>
      </c>
      <c r="DC70" s="27">
        <f t="shared" si="83"/>
        <v>0</v>
      </c>
      <c r="DD70" s="27">
        <f t="shared" si="83"/>
        <v>0</v>
      </c>
      <c r="DE70" s="27">
        <f t="shared" si="83"/>
        <v>0</v>
      </c>
      <c r="DF70" s="27">
        <f t="shared" si="83"/>
        <v>0</v>
      </c>
      <c r="DG70" s="27">
        <f t="shared" si="83"/>
        <v>0</v>
      </c>
      <c r="DH70" s="27">
        <f t="shared" si="83"/>
        <v>0</v>
      </c>
      <c r="DI70" s="27"/>
      <c r="DJ70" s="27">
        <f t="shared" si="92"/>
        <v>0</v>
      </c>
      <c r="DK70" s="27">
        <f t="shared" si="92"/>
        <v>0</v>
      </c>
      <c r="DL70" s="27">
        <f t="shared" si="92"/>
        <v>0</v>
      </c>
      <c r="DN70" s="33">
        <f t="shared" si="89"/>
        <v>20000000</v>
      </c>
      <c r="DO70" s="33">
        <f t="shared" si="90"/>
        <v>20000000</v>
      </c>
      <c r="DP70" s="33">
        <f t="shared" si="91"/>
        <v>20000000</v>
      </c>
    </row>
    <row r="71" spans="1:120" ht="33" customHeight="1" x14ac:dyDescent="0.25">
      <c r="A71" s="226" t="s">
        <v>175</v>
      </c>
      <c r="B71" s="240" t="s">
        <v>208</v>
      </c>
      <c r="C71" s="23" t="s">
        <v>209</v>
      </c>
      <c r="D71" s="24" t="s">
        <v>210</v>
      </c>
      <c r="E71" s="25">
        <v>520</v>
      </c>
      <c r="F71" s="26" t="s">
        <v>89</v>
      </c>
      <c r="G71" s="27">
        <f t="shared" si="70"/>
        <v>10000000</v>
      </c>
      <c r="H71" s="27"/>
      <c r="I71" s="39"/>
      <c r="J71" s="27"/>
      <c r="K71" s="27"/>
      <c r="L71" s="27">
        <f>20000000-10000000</f>
        <v>10000000</v>
      </c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64"/>
      <c r="AC71" s="29">
        <f t="shared" si="86"/>
        <v>0</v>
      </c>
      <c r="AD71" s="27">
        <f t="shared" si="71"/>
        <v>0</v>
      </c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9">
        <f t="shared" si="87"/>
        <v>1</v>
      </c>
      <c r="AZ71" s="27">
        <f t="shared" si="72"/>
        <v>10000000</v>
      </c>
      <c r="BA71" s="27">
        <f t="shared" si="73"/>
        <v>0</v>
      </c>
      <c r="BB71" s="27">
        <f t="shared" si="74"/>
        <v>0</v>
      </c>
      <c r="BC71" s="27">
        <f t="shared" si="74"/>
        <v>0</v>
      </c>
      <c r="BD71" s="27">
        <f t="shared" si="74"/>
        <v>0</v>
      </c>
      <c r="BE71" s="27">
        <f t="shared" ref="BE71:BP86" si="93">+L71-AI71</f>
        <v>10000000</v>
      </c>
      <c r="BF71" s="27">
        <f t="shared" si="93"/>
        <v>0</v>
      </c>
      <c r="BG71" s="27">
        <f t="shared" si="93"/>
        <v>0</v>
      </c>
      <c r="BH71" s="27">
        <f t="shared" si="93"/>
        <v>0</v>
      </c>
      <c r="BI71" s="27">
        <f t="shared" si="93"/>
        <v>0</v>
      </c>
      <c r="BJ71" s="27">
        <f t="shared" si="93"/>
        <v>0</v>
      </c>
      <c r="BK71" s="27">
        <f t="shared" si="93"/>
        <v>0</v>
      </c>
      <c r="BL71" s="27">
        <f t="shared" si="93"/>
        <v>0</v>
      </c>
      <c r="BM71" s="27">
        <f t="shared" si="93"/>
        <v>0</v>
      </c>
      <c r="BN71" s="27">
        <f t="shared" si="93"/>
        <v>0</v>
      </c>
      <c r="BO71" s="27">
        <f t="shared" si="93"/>
        <v>0</v>
      </c>
      <c r="BP71" s="27">
        <f t="shared" si="93"/>
        <v>0</v>
      </c>
      <c r="BQ71" s="27"/>
      <c r="BR71" s="27"/>
      <c r="BS71" s="27">
        <f t="shared" si="76"/>
        <v>0</v>
      </c>
      <c r="BT71" s="27">
        <f t="shared" ref="BT71:BT90" si="94">+AA71-AX71</f>
        <v>0</v>
      </c>
      <c r="BU71" s="29">
        <f t="shared" si="88"/>
        <v>0</v>
      </c>
      <c r="BV71" s="27">
        <f t="shared" si="78"/>
        <v>0</v>
      </c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9">
        <f t="shared" si="79"/>
        <v>1</v>
      </c>
      <c r="CR71" s="27">
        <f t="shared" si="80"/>
        <v>10000000</v>
      </c>
      <c r="CS71" s="27">
        <f t="shared" si="81"/>
        <v>0</v>
      </c>
      <c r="CT71" s="27">
        <f t="shared" si="81"/>
        <v>0</v>
      </c>
      <c r="CU71" s="27">
        <f t="shared" si="81"/>
        <v>0</v>
      </c>
      <c r="CV71" s="27">
        <f t="shared" si="81"/>
        <v>0</v>
      </c>
      <c r="CW71" s="27">
        <f t="shared" si="81"/>
        <v>10000000</v>
      </c>
      <c r="CX71" s="27">
        <f t="shared" si="81"/>
        <v>0</v>
      </c>
      <c r="CY71" s="27">
        <f t="shared" si="81"/>
        <v>0</v>
      </c>
      <c r="CZ71" s="27">
        <f t="shared" ref="CZ71:DB73" si="95">+O71-CD71</f>
        <v>0</v>
      </c>
      <c r="DA71" s="27">
        <f t="shared" si="95"/>
        <v>0</v>
      </c>
      <c r="DB71" s="27">
        <f t="shared" si="95"/>
        <v>0</v>
      </c>
      <c r="DC71" s="27">
        <f t="shared" si="83"/>
        <v>0</v>
      </c>
      <c r="DD71" s="27">
        <f t="shared" si="83"/>
        <v>0</v>
      </c>
      <c r="DE71" s="27">
        <f t="shared" si="83"/>
        <v>0</v>
      </c>
      <c r="DF71" s="27">
        <f t="shared" ref="DF71:DH82" si="96">+U71-CJ71</f>
        <v>0</v>
      </c>
      <c r="DG71" s="27">
        <f t="shared" si="96"/>
        <v>0</v>
      </c>
      <c r="DH71" s="27">
        <f t="shared" si="96"/>
        <v>0</v>
      </c>
      <c r="DI71" s="27"/>
      <c r="DJ71" s="27">
        <f t="shared" ref="DJ71:DL82" si="97">+Y71-CN71</f>
        <v>0</v>
      </c>
      <c r="DK71" s="61">
        <f t="shared" si="97"/>
        <v>0</v>
      </c>
      <c r="DL71" s="27">
        <f t="shared" si="97"/>
        <v>0</v>
      </c>
      <c r="DN71" s="33">
        <f t="shared" si="89"/>
        <v>10000000</v>
      </c>
      <c r="DO71" s="33">
        <f t="shared" si="90"/>
        <v>10000000</v>
      </c>
      <c r="DP71" s="33">
        <f t="shared" si="91"/>
        <v>10000000</v>
      </c>
    </row>
    <row r="72" spans="1:120" ht="21" customHeight="1" x14ac:dyDescent="0.25">
      <c r="A72" s="227"/>
      <c r="B72" s="241"/>
      <c r="C72" s="23" t="s">
        <v>211</v>
      </c>
      <c r="D72" s="24" t="s">
        <v>212</v>
      </c>
      <c r="E72" s="25">
        <v>520</v>
      </c>
      <c r="F72" s="26" t="s">
        <v>89</v>
      </c>
      <c r="G72" s="27">
        <f t="shared" si="70"/>
        <v>20000000</v>
      </c>
      <c r="H72" s="27"/>
      <c r="I72" s="39"/>
      <c r="J72" s="27"/>
      <c r="K72" s="27"/>
      <c r="L72" s="27">
        <v>20000000</v>
      </c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64"/>
      <c r="AC72" s="29">
        <f t="shared" si="86"/>
        <v>1</v>
      </c>
      <c r="AD72" s="27">
        <f t="shared" si="71"/>
        <v>20000000</v>
      </c>
      <c r="AE72" s="27"/>
      <c r="AF72" s="27"/>
      <c r="AG72" s="27"/>
      <c r="AH72" s="27"/>
      <c r="AI72" s="27">
        <f>+'[5]ENERO 2016'!$O$771</f>
        <v>20000000</v>
      </c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9">
        <f t="shared" si="87"/>
        <v>0</v>
      </c>
      <c r="AZ72" s="27">
        <f t="shared" si="72"/>
        <v>0</v>
      </c>
      <c r="BA72" s="27">
        <f t="shared" si="73"/>
        <v>0</v>
      </c>
      <c r="BB72" s="27">
        <f t="shared" si="74"/>
        <v>0</v>
      </c>
      <c r="BC72" s="27">
        <f t="shared" si="74"/>
        <v>0</v>
      </c>
      <c r="BD72" s="27">
        <f t="shared" si="74"/>
        <v>0</v>
      </c>
      <c r="BE72" s="27">
        <f t="shared" si="93"/>
        <v>0</v>
      </c>
      <c r="BF72" s="27">
        <f t="shared" si="93"/>
        <v>0</v>
      </c>
      <c r="BG72" s="27">
        <f t="shared" si="93"/>
        <v>0</v>
      </c>
      <c r="BH72" s="27">
        <f t="shared" si="93"/>
        <v>0</v>
      </c>
      <c r="BI72" s="27">
        <f t="shared" si="93"/>
        <v>0</v>
      </c>
      <c r="BJ72" s="27">
        <f t="shared" si="93"/>
        <v>0</v>
      </c>
      <c r="BK72" s="27">
        <f t="shared" si="93"/>
        <v>0</v>
      </c>
      <c r="BL72" s="27">
        <f t="shared" si="93"/>
        <v>0</v>
      </c>
      <c r="BM72" s="27">
        <f t="shared" si="93"/>
        <v>0</v>
      </c>
      <c r="BN72" s="27">
        <f t="shared" si="93"/>
        <v>0</v>
      </c>
      <c r="BO72" s="27">
        <f t="shared" si="93"/>
        <v>0</v>
      </c>
      <c r="BP72" s="27">
        <f t="shared" si="93"/>
        <v>0</v>
      </c>
      <c r="BQ72" s="27"/>
      <c r="BR72" s="27"/>
      <c r="BS72" s="27">
        <f t="shared" si="76"/>
        <v>0</v>
      </c>
      <c r="BT72" s="27">
        <f t="shared" si="94"/>
        <v>0</v>
      </c>
      <c r="BU72" s="29">
        <f t="shared" si="88"/>
        <v>0.89853749999999999</v>
      </c>
      <c r="BV72" s="27">
        <f t="shared" si="78"/>
        <v>17970750</v>
      </c>
      <c r="BW72" s="27"/>
      <c r="BX72" s="27"/>
      <c r="BY72" s="27"/>
      <c r="BZ72" s="27"/>
      <c r="CA72" s="27">
        <f>+'[5]ENERO 2016'!$H$769</f>
        <v>17970750</v>
      </c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9">
        <f t="shared" si="79"/>
        <v>0.10146250000000001</v>
      </c>
      <c r="CR72" s="27">
        <f t="shared" si="80"/>
        <v>2029250</v>
      </c>
      <c r="CS72" s="27">
        <f t="shared" si="81"/>
        <v>0</v>
      </c>
      <c r="CT72" s="27">
        <f t="shared" si="81"/>
        <v>0</v>
      </c>
      <c r="CU72" s="27">
        <f t="shared" si="81"/>
        <v>0</v>
      </c>
      <c r="CV72" s="27">
        <f t="shared" si="81"/>
        <v>0</v>
      </c>
      <c r="CW72" s="27">
        <f t="shared" si="81"/>
        <v>2029250</v>
      </c>
      <c r="CX72" s="27">
        <f t="shared" si="81"/>
        <v>0</v>
      </c>
      <c r="CY72" s="27">
        <f t="shared" si="81"/>
        <v>0</v>
      </c>
      <c r="CZ72" s="27">
        <f t="shared" si="95"/>
        <v>0</v>
      </c>
      <c r="DA72" s="27">
        <f t="shared" si="95"/>
        <v>0</v>
      </c>
      <c r="DB72" s="27">
        <f t="shared" si="95"/>
        <v>0</v>
      </c>
      <c r="DC72" s="27">
        <f t="shared" si="83"/>
        <v>0</v>
      </c>
      <c r="DD72" s="27">
        <f t="shared" si="83"/>
        <v>0</v>
      </c>
      <c r="DE72" s="27">
        <f t="shared" si="83"/>
        <v>0</v>
      </c>
      <c r="DF72" s="27">
        <f t="shared" si="96"/>
        <v>0</v>
      </c>
      <c r="DG72" s="27">
        <f t="shared" si="96"/>
        <v>0</v>
      </c>
      <c r="DH72" s="27">
        <f t="shared" si="96"/>
        <v>0</v>
      </c>
      <c r="DI72" s="27"/>
      <c r="DJ72" s="27">
        <f t="shared" si="97"/>
        <v>0</v>
      </c>
      <c r="DK72" s="61">
        <f t="shared" si="97"/>
        <v>0</v>
      </c>
      <c r="DL72" s="27">
        <f t="shared" si="97"/>
        <v>0</v>
      </c>
      <c r="DN72" s="33">
        <f t="shared" si="89"/>
        <v>20000000</v>
      </c>
      <c r="DO72" s="33">
        <f t="shared" si="90"/>
        <v>20000000</v>
      </c>
      <c r="DP72" s="33">
        <f t="shared" si="91"/>
        <v>20000000</v>
      </c>
    </row>
    <row r="73" spans="1:120" ht="23.25" customHeight="1" x14ac:dyDescent="0.25">
      <c r="A73" s="227"/>
      <c r="B73" s="241"/>
      <c r="C73" s="23" t="s">
        <v>213</v>
      </c>
      <c r="D73" s="24" t="s">
        <v>214</v>
      </c>
      <c r="E73" s="25">
        <v>520</v>
      </c>
      <c r="F73" s="26" t="s">
        <v>75</v>
      </c>
      <c r="G73" s="27">
        <f t="shared" si="70"/>
        <v>1000000</v>
      </c>
      <c r="H73" s="27"/>
      <c r="I73" s="39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>
        <f>3000000-2000000</f>
        <v>1000000</v>
      </c>
      <c r="AB73" s="64"/>
      <c r="AC73" s="29">
        <f t="shared" si="86"/>
        <v>1</v>
      </c>
      <c r="AD73" s="27">
        <f t="shared" si="71"/>
        <v>1000000</v>
      </c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>
        <f>+'[4]ABRIL 2016'!$G$1547</f>
        <v>1000000</v>
      </c>
      <c r="AY73" s="29">
        <f t="shared" si="87"/>
        <v>0</v>
      </c>
      <c r="AZ73" s="27">
        <f t="shared" si="72"/>
        <v>0</v>
      </c>
      <c r="BA73" s="27">
        <f t="shared" si="73"/>
        <v>0</v>
      </c>
      <c r="BB73" s="27">
        <f t="shared" si="74"/>
        <v>0</v>
      </c>
      <c r="BC73" s="27">
        <f t="shared" si="74"/>
        <v>0</v>
      </c>
      <c r="BD73" s="27">
        <f t="shared" si="74"/>
        <v>0</v>
      </c>
      <c r="BE73" s="27">
        <f t="shared" si="93"/>
        <v>0</v>
      </c>
      <c r="BF73" s="27">
        <f t="shared" si="93"/>
        <v>0</v>
      </c>
      <c r="BG73" s="27">
        <f t="shared" si="93"/>
        <v>0</v>
      </c>
      <c r="BH73" s="27">
        <f t="shared" si="93"/>
        <v>0</v>
      </c>
      <c r="BI73" s="27">
        <f t="shared" si="93"/>
        <v>0</v>
      </c>
      <c r="BJ73" s="27">
        <f t="shared" si="93"/>
        <v>0</v>
      </c>
      <c r="BK73" s="27">
        <f t="shared" si="93"/>
        <v>0</v>
      </c>
      <c r="BL73" s="27">
        <f t="shared" si="93"/>
        <v>0</v>
      </c>
      <c r="BM73" s="27">
        <f t="shared" si="93"/>
        <v>0</v>
      </c>
      <c r="BN73" s="27">
        <f t="shared" si="93"/>
        <v>0</v>
      </c>
      <c r="BO73" s="27">
        <f t="shared" si="93"/>
        <v>0</v>
      </c>
      <c r="BP73" s="27">
        <f t="shared" si="93"/>
        <v>0</v>
      </c>
      <c r="BQ73" s="27"/>
      <c r="BR73" s="27"/>
      <c r="BS73" s="27">
        <f t="shared" si="76"/>
        <v>0</v>
      </c>
      <c r="BT73" s="27">
        <f t="shared" si="94"/>
        <v>0</v>
      </c>
      <c r="BU73" s="29">
        <f t="shared" si="88"/>
        <v>1</v>
      </c>
      <c r="BV73" s="27">
        <f t="shared" si="78"/>
        <v>1000000</v>
      </c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>
        <f>+'[4]ABRIL 2016'!$H$1547</f>
        <v>1000000</v>
      </c>
      <c r="CQ73" s="29">
        <f t="shared" si="79"/>
        <v>0</v>
      </c>
      <c r="CR73" s="27">
        <f t="shared" si="80"/>
        <v>0</v>
      </c>
      <c r="CS73" s="27">
        <f t="shared" si="81"/>
        <v>0</v>
      </c>
      <c r="CT73" s="27">
        <f t="shared" si="81"/>
        <v>0</v>
      </c>
      <c r="CU73" s="27">
        <f t="shared" si="81"/>
        <v>0</v>
      </c>
      <c r="CV73" s="27">
        <f t="shared" si="81"/>
        <v>0</v>
      </c>
      <c r="CW73" s="27">
        <f t="shared" si="81"/>
        <v>0</v>
      </c>
      <c r="CX73" s="27">
        <f t="shared" si="81"/>
        <v>0</v>
      </c>
      <c r="CY73" s="27">
        <f t="shared" si="81"/>
        <v>0</v>
      </c>
      <c r="CZ73" s="27">
        <f t="shared" si="95"/>
        <v>0</v>
      </c>
      <c r="DA73" s="27">
        <f t="shared" si="95"/>
        <v>0</v>
      </c>
      <c r="DB73" s="27">
        <f t="shared" si="95"/>
        <v>0</v>
      </c>
      <c r="DC73" s="27">
        <f t="shared" si="83"/>
        <v>0</v>
      </c>
      <c r="DD73" s="27">
        <f t="shared" si="83"/>
        <v>0</v>
      </c>
      <c r="DE73" s="27">
        <f t="shared" si="83"/>
        <v>0</v>
      </c>
      <c r="DF73" s="27">
        <f t="shared" si="96"/>
        <v>0</v>
      </c>
      <c r="DG73" s="27">
        <f t="shared" si="96"/>
        <v>0</v>
      </c>
      <c r="DH73" s="27">
        <f t="shared" si="96"/>
        <v>0</v>
      </c>
      <c r="DI73" s="27"/>
      <c r="DJ73" s="27">
        <f t="shared" si="97"/>
        <v>0</v>
      </c>
      <c r="DK73" s="61">
        <f t="shared" si="97"/>
        <v>0</v>
      </c>
      <c r="DL73" s="27">
        <f t="shared" si="97"/>
        <v>0</v>
      </c>
      <c r="DN73" s="33">
        <f t="shared" si="89"/>
        <v>1000000</v>
      </c>
      <c r="DO73" s="33">
        <f t="shared" si="90"/>
        <v>1000000</v>
      </c>
      <c r="DP73" s="33">
        <f t="shared" si="91"/>
        <v>1000000</v>
      </c>
    </row>
    <row r="74" spans="1:120" ht="33" customHeight="1" x14ac:dyDescent="0.25">
      <c r="A74" s="227"/>
      <c r="B74" s="241"/>
      <c r="C74" s="23" t="s">
        <v>215</v>
      </c>
      <c r="D74" s="24" t="s">
        <v>216</v>
      </c>
      <c r="E74" s="25">
        <v>520</v>
      </c>
      <c r="F74" s="26" t="s">
        <v>89</v>
      </c>
      <c r="G74" s="27">
        <f t="shared" si="70"/>
        <v>5000000</v>
      </c>
      <c r="H74" s="27"/>
      <c r="I74" s="39"/>
      <c r="J74" s="27"/>
      <c r="K74" s="27"/>
      <c r="L74" s="27">
        <v>5000000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64"/>
      <c r="AC74" s="29">
        <f t="shared" si="86"/>
        <v>0</v>
      </c>
      <c r="AD74" s="27">
        <f t="shared" si="71"/>
        <v>0</v>
      </c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9">
        <f t="shared" si="87"/>
        <v>1</v>
      </c>
      <c r="AZ74" s="27">
        <f t="shared" si="72"/>
        <v>5000000</v>
      </c>
      <c r="BA74" s="27">
        <f t="shared" si="73"/>
        <v>0</v>
      </c>
      <c r="BB74" s="27">
        <f t="shared" si="74"/>
        <v>0</v>
      </c>
      <c r="BC74" s="27">
        <f t="shared" si="74"/>
        <v>0</v>
      </c>
      <c r="BD74" s="27">
        <f t="shared" si="74"/>
        <v>0</v>
      </c>
      <c r="BE74" s="27">
        <f t="shared" si="93"/>
        <v>5000000</v>
      </c>
      <c r="BF74" s="27"/>
      <c r="BG74" s="27"/>
      <c r="BH74" s="27"/>
      <c r="BI74" s="27"/>
      <c r="BJ74" s="27"/>
      <c r="BK74" s="27">
        <f t="shared" si="93"/>
        <v>0</v>
      </c>
      <c r="BL74" s="27">
        <f t="shared" si="93"/>
        <v>0</v>
      </c>
      <c r="BM74" s="27">
        <f t="shared" si="93"/>
        <v>0</v>
      </c>
      <c r="BN74" s="27"/>
      <c r="BO74" s="27">
        <f t="shared" si="93"/>
        <v>0</v>
      </c>
      <c r="BP74" s="27">
        <f t="shared" si="93"/>
        <v>0</v>
      </c>
      <c r="BQ74" s="27"/>
      <c r="BR74" s="27"/>
      <c r="BS74" s="27">
        <f t="shared" si="76"/>
        <v>0</v>
      </c>
      <c r="BT74" s="27">
        <f t="shared" si="94"/>
        <v>0</v>
      </c>
      <c r="BU74" s="29">
        <f t="shared" si="88"/>
        <v>0</v>
      </c>
      <c r="BV74" s="27">
        <f t="shared" si="78"/>
        <v>0</v>
      </c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9">
        <f t="shared" si="79"/>
        <v>1</v>
      </c>
      <c r="CR74" s="27">
        <f t="shared" si="80"/>
        <v>5000000</v>
      </c>
      <c r="CS74" s="27">
        <f t="shared" si="81"/>
        <v>0</v>
      </c>
      <c r="CT74" s="27">
        <f t="shared" si="81"/>
        <v>0</v>
      </c>
      <c r="CU74" s="27">
        <f t="shared" si="81"/>
        <v>0</v>
      </c>
      <c r="CV74" s="27">
        <f t="shared" si="81"/>
        <v>0</v>
      </c>
      <c r="CW74" s="27">
        <f t="shared" si="81"/>
        <v>5000000</v>
      </c>
      <c r="CX74" s="27"/>
      <c r="CY74" s="27"/>
      <c r="CZ74" s="27"/>
      <c r="DA74" s="27"/>
      <c r="DB74" s="27"/>
      <c r="DC74" s="27">
        <f t="shared" si="83"/>
        <v>0</v>
      </c>
      <c r="DD74" s="27">
        <f t="shared" si="83"/>
        <v>0</v>
      </c>
      <c r="DE74" s="27">
        <f t="shared" si="83"/>
        <v>0</v>
      </c>
      <c r="DF74" s="27">
        <f t="shared" si="96"/>
        <v>0</v>
      </c>
      <c r="DG74" s="27">
        <f t="shared" si="96"/>
        <v>0</v>
      </c>
      <c r="DH74" s="27">
        <f t="shared" si="96"/>
        <v>0</v>
      </c>
      <c r="DI74" s="27"/>
      <c r="DJ74" s="27"/>
      <c r="DK74" s="61"/>
      <c r="DL74" s="27">
        <f t="shared" si="97"/>
        <v>0</v>
      </c>
      <c r="DN74" s="33">
        <f t="shared" si="89"/>
        <v>5000000</v>
      </c>
      <c r="DO74" s="33">
        <f t="shared" si="90"/>
        <v>5000000</v>
      </c>
      <c r="DP74" s="33">
        <f t="shared" si="91"/>
        <v>5000000</v>
      </c>
    </row>
    <row r="75" spans="1:120" ht="22.5" customHeight="1" x14ac:dyDescent="0.25">
      <c r="A75" s="227"/>
      <c r="B75" s="241"/>
      <c r="C75" s="23" t="s">
        <v>217</v>
      </c>
      <c r="D75" s="24" t="s">
        <v>218</v>
      </c>
      <c r="E75" s="25">
        <v>520</v>
      </c>
      <c r="F75" s="26" t="s">
        <v>89</v>
      </c>
      <c r="G75" s="27">
        <f t="shared" si="70"/>
        <v>5000000</v>
      </c>
      <c r="H75" s="27"/>
      <c r="I75" s="39"/>
      <c r="J75" s="27"/>
      <c r="K75" s="27"/>
      <c r="L75" s="27">
        <v>5000000</v>
      </c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64"/>
      <c r="AC75" s="29">
        <f t="shared" si="86"/>
        <v>0</v>
      </c>
      <c r="AD75" s="27">
        <f t="shared" si="71"/>
        <v>0</v>
      </c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9">
        <f t="shared" si="87"/>
        <v>1</v>
      </c>
      <c r="AZ75" s="27">
        <f t="shared" si="72"/>
        <v>5000000</v>
      </c>
      <c r="BA75" s="27">
        <f t="shared" si="73"/>
        <v>0</v>
      </c>
      <c r="BB75" s="27">
        <f t="shared" si="74"/>
        <v>0</v>
      </c>
      <c r="BC75" s="27">
        <f t="shared" si="74"/>
        <v>0</v>
      </c>
      <c r="BD75" s="27">
        <f t="shared" si="74"/>
        <v>0</v>
      </c>
      <c r="BE75" s="27">
        <f t="shared" si="93"/>
        <v>5000000</v>
      </c>
      <c r="BF75" s="27"/>
      <c r="BG75" s="27"/>
      <c r="BH75" s="27"/>
      <c r="BI75" s="27"/>
      <c r="BJ75" s="27"/>
      <c r="BK75" s="27">
        <f t="shared" si="93"/>
        <v>0</v>
      </c>
      <c r="BL75" s="27">
        <f t="shared" si="93"/>
        <v>0</v>
      </c>
      <c r="BM75" s="27">
        <f t="shared" si="93"/>
        <v>0</v>
      </c>
      <c r="BN75" s="27"/>
      <c r="BO75" s="27">
        <f t="shared" si="93"/>
        <v>0</v>
      </c>
      <c r="BP75" s="27">
        <f t="shared" si="93"/>
        <v>0</v>
      </c>
      <c r="BQ75" s="27"/>
      <c r="BR75" s="27"/>
      <c r="BS75" s="27">
        <f t="shared" si="76"/>
        <v>0</v>
      </c>
      <c r="BT75" s="27">
        <f t="shared" si="94"/>
        <v>0</v>
      </c>
      <c r="BU75" s="29">
        <f t="shared" si="88"/>
        <v>0</v>
      </c>
      <c r="BV75" s="27">
        <f t="shared" si="78"/>
        <v>0</v>
      </c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9">
        <f t="shared" si="79"/>
        <v>1</v>
      </c>
      <c r="CR75" s="27">
        <f t="shared" si="80"/>
        <v>5000000</v>
      </c>
      <c r="CS75" s="27">
        <f t="shared" ref="CS75:CY90" si="98">H75-BW75</f>
        <v>0</v>
      </c>
      <c r="CT75" s="27">
        <f t="shared" si="98"/>
        <v>0</v>
      </c>
      <c r="CU75" s="27">
        <f t="shared" si="98"/>
        <v>0</v>
      </c>
      <c r="CV75" s="27">
        <f t="shared" si="98"/>
        <v>0</v>
      </c>
      <c r="CW75" s="27">
        <f t="shared" si="98"/>
        <v>5000000</v>
      </c>
      <c r="CX75" s="27"/>
      <c r="CY75" s="27"/>
      <c r="CZ75" s="27"/>
      <c r="DA75" s="27"/>
      <c r="DB75" s="27"/>
      <c r="DC75" s="27">
        <f t="shared" si="83"/>
        <v>0</v>
      </c>
      <c r="DD75" s="27">
        <f t="shared" si="83"/>
        <v>0</v>
      </c>
      <c r="DE75" s="27">
        <f t="shared" si="83"/>
        <v>0</v>
      </c>
      <c r="DF75" s="27">
        <f t="shared" si="96"/>
        <v>0</v>
      </c>
      <c r="DG75" s="27">
        <f t="shared" si="96"/>
        <v>0</v>
      </c>
      <c r="DH75" s="27">
        <f t="shared" si="96"/>
        <v>0</v>
      </c>
      <c r="DI75" s="27"/>
      <c r="DJ75" s="27"/>
      <c r="DK75" s="61"/>
      <c r="DL75" s="27">
        <f t="shared" si="97"/>
        <v>0</v>
      </c>
      <c r="DN75" s="33">
        <f t="shared" si="89"/>
        <v>5000000</v>
      </c>
      <c r="DO75" s="33">
        <f t="shared" si="90"/>
        <v>5000000</v>
      </c>
      <c r="DP75" s="33">
        <f t="shared" si="91"/>
        <v>5000000</v>
      </c>
    </row>
    <row r="76" spans="1:120" ht="24.75" customHeight="1" x14ac:dyDescent="0.25">
      <c r="A76" s="227"/>
      <c r="B76" s="241"/>
      <c r="C76" s="23" t="s">
        <v>219</v>
      </c>
      <c r="D76" s="24" t="s">
        <v>220</v>
      </c>
      <c r="E76" s="25">
        <v>520</v>
      </c>
      <c r="F76" s="26" t="s">
        <v>89</v>
      </c>
      <c r="G76" s="27">
        <f t="shared" si="70"/>
        <v>15000000</v>
      </c>
      <c r="H76" s="27"/>
      <c r="I76" s="39"/>
      <c r="J76" s="27"/>
      <c r="K76" s="27"/>
      <c r="L76" s="27">
        <f>5000000+10000000</f>
        <v>15000000</v>
      </c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64"/>
      <c r="AC76" s="29">
        <f t="shared" si="86"/>
        <v>0.92977500000000002</v>
      </c>
      <c r="AD76" s="27">
        <f t="shared" si="71"/>
        <v>13946625</v>
      </c>
      <c r="AE76" s="27"/>
      <c r="AF76" s="27"/>
      <c r="AG76" s="27"/>
      <c r="AH76" s="27"/>
      <c r="AI76" s="27">
        <f>+'[4]ABRIL 2016'!$G$1562</f>
        <v>13946625</v>
      </c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9">
        <f t="shared" si="87"/>
        <v>7.0224999999999982E-2</v>
      </c>
      <c r="AZ76" s="27">
        <f t="shared" si="72"/>
        <v>1053375</v>
      </c>
      <c r="BA76" s="27">
        <f t="shared" si="73"/>
        <v>0</v>
      </c>
      <c r="BB76" s="27">
        <f t="shared" si="74"/>
        <v>0</v>
      </c>
      <c r="BC76" s="27">
        <f t="shared" si="74"/>
        <v>0</v>
      </c>
      <c r="BD76" s="27">
        <f t="shared" si="74"/>
        <v>0</v>
      </c>
      <c r="BE76" s="27">
        <f t="shared" si="93"/>
        <v>1053375</v>
      </c>
      <c r="BF76" s="27"/>
      <c r="BG76" s="27"/>
      <c r="BH76" s="27"/>
      <c r="BI76" s="27"/>
      <c r="BJ76" s="27"/>
      <c r="BK76" s="27">
        <f t="shared" si="93"/>
        <v>0</v>
      </c>
      <c r="BL76" s="27">
        <f t="shared" si="93"/>
        <v>0</v>
      </c>
      <c r="BM76" s="27">
        <f t="shared" si="93"/>
        <v>0</v>
      </c>
      <c r="BN76" s="27">
        <f t="shared" si="93"/>
        <v>0</v>
      </c>
      <c r="BO76" s="27">
        <f t="shared" si="93"/>
        <v>0</v>
      </c>
      <c r="BP76" s="27">
        <f t="shared" si="93"/>
        <v>0</v>
      </c>
      <c r="BQ76" s="27"/>
      <c r="BR76" s="27"/>
      <c r="BS76" s="27">
        <f t="shared" si="76"/>
        <v>0</v>
      </c>
      <c r="BT76" s="27">
        <f t="shared" si="94"/>
        <v>0</v>
      </c>
      <c r="BU76" s="29">
        <f t="shared" si="88"/>
        <v>0.92977500000000002</v>
      </c>
      <c r="BV76" s="27">
        <f t="shared" si="78"/>
        <v>13946625</v>
      </c>
      <c r="BW76" s="27"/>
      <c r="BX76" s="27"/>
      <c r="BY76" s="27"/>
      <c r="BZ76" s="27"/>
      <c r="CA76" s="27">
        <v>13946625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9">
        <f t="shared" si="79"/>
        <v>7.0224999999999982E-2</v>
      </c>
      <c r="CR76" s="27">
        <f t="shared" si="80"/>
        <v>1053375</v>
      </c>
      <c r="CS76" s="27">
        <f t="shared" si="98"/>
        <v>0</v>
      </c>
      <c r="CT76" s="27">
        <f t="shared" si="98"/>
        <v>0</v>
      </c>
      <c r="CU76" s="27">
        <f t="shared" si="98"/>
        <v>0</v>
      </c>
      <c r="CV76" s="27">
        <f t="shared" si="98"/>
        <v>0</v>
      </c>
      <c r="CW76" s="27">
        <f t="shared" si="98"/>
        <v>1053375</v>
      </c>
      <c r="CX76" s="27"/>
      <c r="CY76" s="27"/>
      <c r="CZ76" s="27"/>
      <c r="DA76" s="27"/>
      <c r="DB76" s="27"/>
      <c r="DC76" s="27">
        <f t="shared" si="83"/>
        <v>0</v>
      </c>
      <c r="DD76" s="27">
        <f t="shared" si="83"/>
        <v>0</v>
      </c>
      <c r="DE76" s="27">
        <f t="shared" si="83"/>
        <v>0</v>
      </c>
      <c r="DF76" s="27">
        <f t="shared" si="96"/>
        <v>0</v>
      </c>
      <c r="DG76" s="27">
        <f t="shared" si="96"/>
        <v>0</v>
      </c>
      <c r="DH76" s="27">
        <f t="shared" si="96"/>
        <v>0</v>
      </c>
      <c r="DI76" s="27"/>
      <c r="DJ76" s="27"/>
      <c r="DK76" s="61"/>
      <c r="DL76" s="27">
        <f t="shared" si="97"/>
        <v>0</v>
      </c>
      <c r="DN76" s="33">
        <f t="shared" si="89"/>
        <v>15000000</v>
      </c>
      <c r="DO76" s="33">
        <f t="shared" si="90"/>
        <v>15000000</v>
      </c>
      <c r="DP76" s="33">
        <f t="shared" si="91"/>
        <v>15000000</v>
      </c>
    </row>
    <row r="77" spans="1:120" ht="27.75" customHeight="1" x14ac:dyDescent="0.25">
      <c r="A77" s="227"/>
      <c r="B77" s="242"/>
      <c r="C77" s="23" t="s">
        <v>221</v>
      </c>
      <c r="D77" s="24" t="s">
        <v>222</v>
      </c>
      <c r="E77" s="25">
        <v>520</v>
      </c>
      <c r="F77" s="26" t="s">
        <v>89</v>
      </c>
      <c r="G77" s="27">
        <f t="shared" si="70"/>
        <v>5000000</v>
      </c>
      <c r="H77" s="27"/>
      <c r="I77" s="39"/>
      <c r="J77" s="27"/>
      <c r="K77" s="27"/>
      <c r="L77" s="27">
        <v>5000000</v>
      </c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64"/>
      <c r="AC77" s="29">
        <f t="shared" si="86"/>
        <v>0.439801</v>
      </c>
      <c r="AD77" s="27">
        <f t="shared" si="71"/>
        <v>2199005</v>
      </c>
      <c r="AE77" s="27"/>
      <c r="AF77" s="27"/>
      <c r="AG77" s="27"/>
      <c r="AH77" s="27"/>
      <c r="AI77" s="27">
        <f>+'[1]JUNIO 2016'!$G$2068</f>
        <v>2199005</v>
      </c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9">
        <f t="shared" si="87"/>
        <v>0.560199</v>
      </c>
      <c r="AZ77" s="27">
        <f t="shared" si="72"/>
        <v>2800995</v>
      </c>
      <c r="BA77" s="27">
        <f t="shared" si="73"/>
        <v>0</v>
      </c>
      <c r="BB77" s="27">
        <f t="shared" si="74"/>
        <v>0</v>
      </c>
      <c r="BC77" s="27">
        <f t="shared" si="74"/>
        <v>0</v>
      </c>
      <c r="BD77" s="27">
        <f t="shared" si="74"/>
        <v>0</v>
      </c>
      <c r="BE77" s="27">
        <f t="shared" si="93"/>
        <v>2800995</v>
      </c>
      <c r="BF77" s="27"/>
      <c r="BG77" s="27"/>
      <c r="BH77" s="27"/>
      <c r="BI77" s="27"/>
      <c r="BJ77" s="27"/>
      <c r="BK77" s="27">
        <f t="shared" si="93"/>
        <v>0</v>
      </c>
      <c r="BL77" s="27">
        <f t="shared" si="93"/>
        <v>0</v>
      </c>
      <c r="BM77" s="27">
        <f t="shared" si="93"/>
        <v>0</v>
      </c>
      <c r="BN77" s="27">
        <f t="shared" si="93"/>
        <v>0</v>
      </c>
      <c r="BO77" s="27">
        <f t="shared" si="93"/>
        <v>0</v>
      </c>
      <c r="BP77" s="27">
        <f t="shared" si="93"/>
        <v>0</v>
      </c>
      <c r="BQ77" s="27"/>
      <c r="BR77" s="27"/>
      <c r="BS77" s="27">
        <f t="shared" si="76"/>
        <v>0</v>
      </c>
      <c r="BT77" s="27">
        <f t="shared" si="94"/>
        <v>0</v>
      </c>
      <c r="BU77" s="29">
        <f t="shared" si="88"/>
        <v>0.439801</v>
      </c>
      <c r="BV77" s="27">
        <f t="shared" si="78"/>
        <v>2199005</v>
      </c>
      <c r="BW77" s="27"/>
      <c r="BX77" s="27"/>
      <c r="BY77" s="27"/>
      <c r="BZ77" s="27"/>
      <c r="CA77" s="27">
        <f>+'[1]JUNIO 2016'!$H$2068</f>
        <v>2199005</v>
      </c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9">
        <f t="shared" si="79"/>
        <v>0.560199</v>
      </c>
      <c r="CR77" s="27">
        <f t="shared" si="80"/>
        <v>2800995</v>
      </c>
      <c r="CS77" s="27">
        <f t="shared" si="98"/>
        <v>0</v>
      </c>
      <c r="CT77" s="27">
        <f t="shared" si="98"/>
        <v>0</v>
      </c>
      <c r="CU77" s="27">
        <f t="shared" si="98"/>
        <v>0</v>
      </c>
      <c r="CV77" s="27">
        <f t="shared" si="98"/>
        <v>0</v>
      </c>
      <c r="CW77" s="27">
        <f t="shared" si="98"/>
        <v>2800995</v>
      </c>
      <c r="CX77" s="27"/>
      <c r="CY77" s="27"/>
      <c r="CZ77" s="27"/>
      <c r="DA77" s="27"/>
      <c r="DB77" s="27"/>
      <c r="DC77" s="27">
        <f t="shared" si="83"/>
        <v>0</v>
      </c>
      <c r="DD77" s="27">
        <f t="shared" si="83"/>
        <v>0</v>
      </c>
      <c r="DE77" s="27">
        <f t="shared" si="83"/>
        <v>0</v>
      </c>
      <c r="DF77" s="27">
        <f t="shared" si="96"/>
        <v>0</v>
      </c>
      <c r="DG77" s="27">
        <f t="shared" si="96"/>
        <v>0</v>
      </c>
      <c r="DH77" s="27">
        <f t="shared" si="96"/>
        <v>0</v>
      </c>
      <c r="DI77" s="27"/>
      <c r="DJ77" s="27"/>
      <c r="DK77" s="61"/>
      <c r="DL77" s="27">
        <f t="shared" si="97"/>
        <v>0</v>
      </c>
      <c r="DN77" s="33">
        <f t="shared" si="89"/>
        <v>5000000</v>
      </c>
      <c r="DO77" s="33">
        <f t="shared" si="90"/>
        <v>5000000</v>
      </c>
      <c r="DP77" s="33">
        <f t="shared" si="91"/>
        <v>5000000</v>
      </c>
    </row>
    <row r="78" spans="1:120" ht="34.5" customHeight="1" x14ac:dyDescent="0.25">
      <c r="A78" s="227"/>
      <c r="B78" s="229" t="s">
        <v>223</v>
      </c>
      <c r="C78" s="23" t="s">
        <v>224</v>
      </c>
      <c r="D78" s="24" t="s">
        <v>225</v>
      </c>
      <c r="E78" s="25">
        <v>520</v>
      </c>
      <c r="F78" s="26" t="s">
        <v>89</v>
      </c>
      <c r="G78" s="27">
        <f t="shared" si="70"/>
        <v>10000000</v>
      </c>
      <c r="H78" s="27"/>
      <c r="I78" s="39"/>
      <c r="J78" s="27"/>
      <c r="K78" s="27"/>
      <c r="L78" s="27">
        <v>10000000</v>
      </c>
      <c r="M78" s="27"/>
      <c r="N78" s="27"/>
      <c r="O78" s="27"/>
      <c r="P78" s="27"/>
      <c r="Q78" s="27"/>
      <c r="R78" s="27"/>
      <c r="S78" s="27"/>
      <c r="T78" s="52"/>
      <c r="U78" s="27"/>
      <c r="V78" s="27"/>
      <c r="W78" s="27"/>
      <c r="X78" s="27"/>
      <c r="Y78" s="27"/>
      <c r="Z78" s="27"/>
      <c r="AA78" s="27"/>
      <c r="AB78" s="64"/>
      <c r="AC78" s="29">
        <f t="shared" si="86"/>
        <v>0.38800000000000001</v>
      </c>
      <c r="AD78" s="27">
        <f t="shared" si="71"/>
        <v>3880000</v>
      </c>
      <c r="AE78" s="27"/>
      <c r="AF78" s="27"/>
      <c r="AG78" s="27"/>
      <c r="AH78" s="27"/>
      <c r="AI78" s="27">
        <f>+'[3]MAYO 2016'!$O$1817</f>
        <v>3880000</v>
      </c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9">
        <f t="shared" si="87"/>
        <v>0.61199999999999999</v>
      </c>
      <c r="AZ78" s="27">
        <f t="shared" si="72"/>
        <v>6120000</v>
      </c>
      <c r="BA78" s="27">
        <f t="shared" si="73"/>
        <v>0</v>
      </c>
      <c r="BB78" s="27">
        <f t="shared" si="74"/>
        <v>0</v>
      </c>
      <c r="BC78" s="27">
        <f t="shared" si="74"/>
        <v>0</v>
      </c>
      <c r="BD78" s="27">
        <f t="shared" si="74"/>
        <v>0</v>
      </c>
      <c r="BE78" s="27">
        <f t="shared" si="93"/>
        <v>6120000</v>
      </c>
      <c r="BF78" s="27">
        <f t="shared" si="93"/>
        <v>0</v>
      </c>
      <c r="BG78" s="27">
        <f t="shared" si="93"/>
        <v>0</v>
      </c>
      <c r="BH78" s="27">
        <f t="shared" si="93"/>
        <v>0</v>
      </c>
      <c r="BI78" s="27">
        <f t="shared" si="93"/>
        <v>0</v>
      </c>
      <c r="BJ78" s="27">
        <f t="shared" si="93"/>
        <v>0</v>
      </c>
      <c r="BK78" s="27">
        <f t="shared" si="93"/>
        <v>0</v>
      </c>
      <c r="BL78" s="27">
        <f t="shared" si="93"/>
        <v>0</v>
      </c>
      <c r="BM78" s="27">
        <f t="shared" si="93"/>
        <v>0</v>
      </c>
      <c r="BN78" s="27">
        <f t="shared" si="93"/>
        <v>0</v>
      </c>
      <c r="BO78" s="27">
        <f t="shared" si="93"/>
        <v>0</v>
      </c>
      <c r="BP78" s="27">
        <f t="shared" si="93"/>
        <v>0</v>
      </c>
      <c r="BQ78" s="27"/>
      <c r="BR78" s="27"/>
      <c r="BS78" s="27">
        <f t="shared" si="76"/>
        <v>0</v>
      </c>
      <c r="BT78" s="27">
        <f t="shared" si="94"/>
        <v>0</v>
      </c>
      <c r="BU78" s="29">
        <f t="shared" si="88"/>
        <v>0.38800000000000001</v>
      </c>
      <c r="BV78" s="27">
        <f t="shared" si="78"/>
        <v>3880000</v>
      </c>
      <c r="BW78" s="27"/>
      <c r="BX78" s="27"/>
      <c r="BY78" s="27"/>
      <c r="BZ78" s="27"/>
      <c r="CA78" s="27">
        <f>+'[1]JUNIO 2016'!$O$2080</f>
        <v>3880000</v>
      </c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9">
        <f t="shared" si="79"/>
        <v>0.61199999999999999</v>
      </c>
      <c r="CR78" s="27">
        <f t="shared" si="80"/>
        <v>6120000</v>
      </c>
      <c r="CS78" s="27">
        <f t="shared" si="98"/>
        <v>0</v>
      </c>
      <c r="CT78" s="27">
        <f t="shared" si="98"/>
        <v>0</v>
      </c>
      <c r="CU78" s="27">
        <f t="shared" si="98"/>
        <v>0</v>
      </c>
      <c r="CV78" s="27">
        <f t="shared" si="98"/>
        <v>0</v>
      </c>
      <c r="CW78" s="27">
        <f t="shared" si="98"/>
        <v>6120000</v>
      </c>
      <c r="CX78" s="27">
        <f t="shared" si="98"/>
        <v>0</v>
      </c>
      <c r="CY78" s="27">
        <f t="shared" si="98"/>
        <v>0</v>
      </c>
      <c r="CZ78" s="27">
        <f t="shared" ref="CZ78:DB82" si="99">+O78-CD78</f>
        <v>0</v>
      </c>
      <c r="DA78" s="27">
        <f t="shared" si="99"/>
        <v>0</v>
      </c>
      <c r="DB78" s="27">
        <f t="shared" si="99"/>
        <v>0</v>
      </c>
      <c r="DC78" s="27">
        <f t="shared" si="83"/>
        <v>0</v>
      </c>
      <c r="DD78" s="27">
        <f t="shared" si="83"/>
        <v>0</v>
      </c>
      <c r="DE78" s="27">
        <f t="shared" si="83"/>
        <v>0</v>
      </c>
      <c r="DF78" s="27">
        <f t="shared" si="96"/>
        <v>0</v>
      </c>
      <c r="DG78" s="27">
        <f t="shared" si="96"/>
        <v>0</v>
      </c>
      <c r="DH78" s="27">
        <f t="shared" si="96"/>
        <v>0</v>
      </c>
      <c r="DI78" s="27"/>
      <c r="DJ78" s="27">
        <f t="shared" ref="DJ78:DK82" si="100">+Y78-CN78</f>
        <v>0</v>
      </c>
      <c r="DK78" s="61">
        <f t="shared" si="100"/>
        <v>0</v>
      </c>
      <c r="DL78" s="27">
        <f t="shared" si="97"/>
        <v>0</v>
      </c>
      <c r="DN78" s="33">
        <f t="shared" si="89"/>
        <v>10000000</v>
      </c>
      <c r="DO78" s="33">
        <f t="shared" si="90"/>
        <v>10000000</v>
      </c>
      <c r="DP78" s="33">
        <f t="shared" si="91"/>
        <v>10000000</v>
      </c>
    </row>
    <row r="79" spans="1:120" ht="30.75" customHeight="1" x14ac:dyDescent="0.25">
      <c r="A79" s="227"/>
      <c r="B79" s="231"/>
      <c r="C79" s="23" t="s">
        <v>226</v>
      </c>
      <c r="D79" s="24" t="s">
        <v>227</v>
      </c>
      <c r="E79" s="25">
        <v>520</v>
      </c>
      <c r="F79" s="26" t="s">
        <v>89</v>
      </c>
      <c r="G79" s="27">
        <f t="shared" si="70"/>
        <v>10000000</v>
      </c>
      <c r="H79" s="27"/>
      <c r="I79" s="39"/>
      <c r="J79" s="39"/>
      <c r="K79" s="39"/>
      <c r="L79" s="27">
        <v>10000000</v>
      </c>
      <c r="M79" s="39"/>
      <c r="N79" s="39"/>
      <c r="O79" s="39"/>
      <c r="P79" s="39"/>
      <c r="Q79" s="39"/>
      <c r="R79" s="32"/>
      <c r="S79" s="39"/>
      <c r="T79" s="52"/>
      <c r="U79" s="39"/>
      <c r="V79" s="39"/>
      <c r="W79" s="39"/>
      <c r="X79" s="39"/>
      <c r="Y79" s="39"/>
      <c r="Z79" s="39"/>
      <c r="AA79" s="71"/>
      <c r="AB79" s="64"/>
      <c r="AC79" s="29">
        <f t="shared" si="86"/>
        <v>0</v>
      </c>
      <c r="AD79" s="27">
        <f t="shared" si="71"/>
        <v>0</v>
      </c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9">
        <f t="shared" si="87"/>
        <v>1</v>
      </c>
      <c r="AZ79" s="27">
        <f t="shared" si="72"/>
        <v>10000000</v>
      </c>
      <c r="BA79" s="27">
        <f t="shared" si="73"/>
        <v>0</v>
      </c>
      <c r="BB79" s="27">
        <f t="shared" si="74"/>
        <v>0</v>
      </c>
      <c r="BC79" s="27">
        <f t="shared" si="74"/>
        <v>0</v>
      </c>
      <c r="BD79" s="27">
        <f t="shared" si="74"/>
        <v>0</v>
      </c>
      <c r="BE79" s="27">
        <f t="shared" si="93"/>
        <v>10000000</v>
      </c>
      <c r="BF79" s="27">
        <f t="shared" si="93"/>
        <v>0</v>
      </c>
      <c r="BG79" s="27">
        <f t="shared" si="93"/>
        <v>0</v>
      </c>
      <c r="BH79" s="27">
        <f t="shared" si="93"/>
        <v>0</v>
      </c>
      <c r="BI79" s="27">
        <f t="shared" si="93"/>
        <v>0</v>
      </c>
      <c r="BJ79" s="27">
        <f t="shared" si="93"/>
        <v>0</v>
      </c>
      <c r="BK79" s="27">
        <f t="shared" si="93"/>
        <v>0</v>
      </c>
      <c r="BL79" s="27">
        <f t="shared" si="93"/>
        <v>0</v>
      </c>
      <c r="BM79" s="27">
        <f t="shared" si="93"/>
        <v>0</v>
      </c>
      <c r="BN79" s="27">
        <f t="shared" si="93"/>
        <v>0</v>
      </c>
      <c r="BO79" s="27">
        <f t="shared" si="93"/>
        <v>0</v>
      </c>
      <c r="BP79" s="27">
        <f t="shared" si="93"/>
        <v>0</v>
      </c>
      <c r="BQ79" s="27"/>
      <c r="BR79" s="27"/>
      <c r="BS79" s="27">
        <f t="shared" si="76"/>
        <v>0</v>
      </c>
      <c r="BT79" s="27">
        <f t="shared" si="94"/>
        <v>0</v>
      </c>
      <c r="BU79" s="29">
        <f t="shared" si="88"/>
        <v>0</v>
      </c>
      <c r="BV79" s="27">
        <f t="shared" si="78"/>
        <v>0</v>
      </c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9">
        <f t="shared" si="79"/>
        <v>1</v>
      </c>
      <c r="CR79" s="27">
        <f t="shared" si="80"/>
        <v>10000000</v>
      </c>
      <c r="CS79" s="27">
        <f t="shared" si="98"/>
        <v>0</v>
      </c>
      <c r="CT79" s="27">
        <f t="shared" si="98"/>
        <v>0</v>
      </c>
      <c r="CU79" s="27">
        <f t="shared" si="98"/>
        <v>0</v>
      </c>
      <c r="CV79" s="27">
        <f t="shared" si="98"/>
        <v>0</v>
      </c>
      <c r="CW79" s="27">
        <f t="shared" si="98"/>
        <v>10000000</v>
      </c>
      <c r="CX79" s="27">
        <f t="shared" si="98"/>
        <v>0</v>
      </c>
      <c r="CY79" s="27">
        <f t="shared" si="98"/>
        <v>0</v>
      </c>
      <c r="CZ79" s="27">
        <f t="shared" si="99"/>
        <v>0</v>
      </c>
      <c r="DA79" s="27">
        <f t="shared" si="99"/>
        <v>0</v>
      </c>
      <c r="DB79" s="27">
        <f t="shared" si="99"/>
        <v>0</v>
      </c>
      <c r="DC79" s="27">
        <f t="shared" si="83"/>
        <v>0</v>
      </c>
      <c r="DD79" s="27">
        <f t="shared" si="83"/>
        <v>0</v>
      </c>
      <c r="DE79" s="27">
        <f t="shared" si="83"/>
        <v>0</v>
      </c>
      <c r="DF79" s="27">
        <f t="shared" si="96"/>
        <v>0</v>
      </c>
      <c r="DG79" s="27">
        <f t="shared" si="96"/>
        <v>0</v>
      </c>
      <c r="DH79" s="27">
        <f t="shared" si="96"/>
        <v>0</v>
      </c>
      <c r="DI79" s="27"/>
      <c r="DJ79" s="27">
        <f t="shared" si="100"/>
        <v>0</v>
      </c>
      <c r="DK79" s="61">
        <f t="shared" si="100"/>
        <v>0</v>
      </c>
      <c r="DL79" s="27">
        <f t="shared" si="97"/>
        <v>0</v>
      </c>
      <c r="DN79" s="33">
        <f t="shared" si="89"/>
        <v>10000000</v>
      </c>
      <c r="DO79" s="33">
        <f t="shared" si="90"/>
        <v>10000000</v>
      </c>
      <c r="DP79" s="33">
        <f t="shared" si="91"/>
        <v>10000000</v>
      </c>
    </row>
    <row r="80" spans="1:120" ht="35.25" customHeight="1" x14ac:dyDescent="0.25">
      <c r="A80" s="227"/>
      <c r="B80" s="229" t="s">
        <v>228</v>
      </c>
      <c r="C80" s="23" t="s">
        <v>229</v>
      </c>
      <c r="D80" s="72" t="s">
        <v>230</v>
      </c>
      <c r="E80" s="25">
        <v>520</v>
      </c>
      <c r="F80" s="73" t="s">
        <v>89</v>
      </c>
      <c r="G80" s="27">
        <f t="shared" si="70"/>
        <v>35000000</v>
      </c>
      <c r="H80" s="27"/>
      <c r="I80" s="39"/>
      <c r="J80" s="39"/>
      <c r="K80" s="39"/>
      <c r="L80" s="52">
        <v>10000000</v>
      </c>
      <c r="M80" s="39"/>
      <c r="N80" s="39"/>
      <c r="O80" s="39"/>
      <c r="P80" s="39"/>
      <c r="Q80" s="39"/>
      <c r="R80" s="32"/>
      <c r="S80" s="39"/>
      <c r="T80" s="52">
        <v>25000000</v>
      </c>
      <c r="U80" s="39"/>
      <c r="V80" s="39"/>
      <c r="W80" s="39"/>
      <c r="X80" s="39"/>
      <c r="Y80" s="39"/>
      <c r="Z80" s="39"/>
      <c r="AA80" s="71"/>
      <c r="AB80" s="64"/>
      <c r="AC80" s="29">
        <f t="shared" si="86"/>
        <v>0.2857142857142857</v>
      </c>
      <c r="AD80" s="27">
        <f t="shared" si="71"/>
        <v>10000000</v>
      </c>
      <c r="AE80" s="27"/>
      <c r="AF80" s="27"/>
      <c r="AG80" s="27"/>
      <c r="AH80" s="27"/>
      <c r="AI80" s="27">
        <f>+'[5]ENERO 2016'!$O$816</f>
        <v>10000000</v>
      </c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9">
        <f t="shared" si="87"/>
        <v>0.7142857142857143</v>
      </c>
      <c r="AZ80" s="27">
        <f t="shared" si="72"/>
        <v>25000000</v>
      </c>
      <c r="BA80" s="27">
        <f t="shared" si="73"/>
        <v>0</v>
      </c>
      <c r="BB80" s="27">
        <f t="shared" si="74"/>
        <v>0</v>
      </c>
      <c r="BC80" s="27">
        <f t="shared" si="74"/>
        <v>0</v>
      </c>
      <c r="BD80" s="27">
        <f t="shared" si="74"/>
        <v>0</v>
      </c>
      <c r="BE80" s="27">
        <f t="shared" si="93"/>
        <v>0</v>
      </c>
      <c r="BF80" s="27">
        <f t="shared" si="93"/>
        <v>0</v>
      </c>
      <c r="BG80" s="27">
        <f t="shared" si="93"/>
        <v>0</v>
      </c>
      <c r="BH80" s="27">
        <f t="shared" si="93"/>
        <v>0</v>
      </c>
      <c r="BI80" s="27">
        <f t="shared" si="93"/>
        <v>0</v>
      </c>
      <c r="BJ80" s="27">
        <f t="shared" si="93"/>
        <v>0</v>
      </c>
      <c r="BK80" s="27">
        <f t="shared" si="93"/>
        <v>0</v>
      </c>
      <c r="BL80" s="27">
        <f t="shared" si="93"/>
        <v>0</v>
      </c>
      <c r="BM80" s="27">
        <f t="shared" si="93"/>
        <v>25000000</v>
      </c>
      <c r="BN80" s="27">
        <f t="shared" si="93"/>
        <v>0</v>
      </c>
      <c r="BO80" s="27">
        <f t="shared" si="93"/>
        <v>0</v>
      </c>
      <c r="BP80" s="27">
        <f t="shared" si="93"/>
        <v>0</v>
      </c>
      <c r="BQ80" s="27"/>
      <c r="BR80" s="27"/>
      <c r="BS80" s="27">
        <f t="shared" si="76"/>
        <v>0</v>
      </c>
      <c r="BT80" s="27">
        <f t="shared" si="94"/>
        <v>0</v>
      </c>
      <c r="BU80" s="29">
        <f t="shared" si="88"/>
        <v>0.2857142857142857</v>
      </c>
      <c r="BV80" s="27">
        <f t="shared" si="78"/>
        <v>10000000</v>
      </c>
      <c r="BW80" s="27"/>
      <c r="BX80" s="27"/>
      <c r="BY80" s="27"/>
      <c r="BZ80" s="27"/>
      <c r="CA80" s="27">
        <v>10000000</v>
      </c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9">
        <f t="shared" si="79"/>
        <v>0.7142857142857143</v>
      </c>
      <c r="CR80" s="27">
        <f t="shared" si="80"/>
        <v>25000000</v>
      </c>
      <c r="CS80" s="27">
        <f t="shared" si="98"/>
        <v>0</v>
      </c>
      <c r="CT80" s="27">
        <f t="shared" si="98"/>
        <v>0</v>
      </c>
      <c r="CU80" s="27">
        <f t="shared" si="98"/>
        <v>0</v>
      </c>
      <c r="CV80" s="27">
        <f t="shared" si="98"/>
        <v>0</v>
      </c>
      <c r="CW80" s="27">
        <f t="shared" si="98"/>
        <v>0</v>
      </c>
      <c r="CX80" s="27">
        <f t="shared" si="98"/>
        <v>0</v>
      </c>
      <c r="CY80" s="27">
        <f t="shared" si="98"/>
        <v>0</v>
      </c>
      <c r="CZ80" s="27">
        <f t="shared" si="99"/>
        <v>0</v>
      </c>
      <c r="DA80" s="27">
        <f t="shared" si="99"/>
        <v>0</v>
      </c>
      <c r="DB80" s="27">
        <f t="shared" si="99"/>
        <v>0</v>
      </c>
      <c r="DC80" s="27">
        <f t="shared" si="83"/>
        <v>0</v>
      </c>
      <c r="DD80" s="27">
        <f t="shared" si="83"/>
        <v>0</v>
      </c>
      <c r="DE80" s="27">
        <f t="shared" si="83"/>
        <v>25000000</v>
      </c>
      <c r="DF80" s="27">
        <f t="shared" si="96"/>
        <v>0</v>
      </c>
      <c r="DG80" s="27">
        <f t="shared" si="96"/>
        <v>0</v>
      </c>
      <c r="DH80" s="27">
        <f t="shared" si="96"/>
        <v>0</v>
      </c>
      <c r="DI80" s="27"/>
      <c r="DJ80" s="27">
        <f t="shared" si="100"/>
        <v>0</v>
      </c>
      <c r="DK80" s="61">
        <f t="shared" si="100"/>
        <v>0</v>
      </c>
      <c r="DL80" s="27">
        <f t="shared" si="97"/>
        <v>0</v>
      </c>
      <c r="DN80" s="33">
        <f t="shared" si="89"/>
        <v>35000000</v>
      </c>
      <c r="DO80" s="33">
        <f t="shared" si="90"/>
        <v>35000000</v>
      </c>
      <c r="DP80" s="33">
        <f t="shared" si="91"/>
        <v>35000000</v>
      </c>
    </row>
    <row r="81" spans="1:120" ht="24.75" customHeight="1" x14ac:dyDescent="0.25">
      <c r="A81" s="227"/>
      <c r="B81" s="230"/>
      <c r="C81" s="23" t="s">
        <v>231</v>
      </c>
      <c r="D81" s="72" t="s">
        <v>232</v>
      </c>
      <c r="E81" s="25">
        <v>520</v>
      </c>
      <c r="F81" s="73" t="s">
        <v>89</v>
      </c>
      <c r="G81" s="27">
        <f t="shared" si="70"/>
        <v>20000000</v>
      </c>
      <c r="H81" s="27"/>
      <c r="I81" s="39"/>
      <c r="J81" s="39"/>
      <c r="K81" s="39"/>
      <c r="L81" s="52">
        <v>10000000</v>
      </c>
      <c r="M81" s="39"/>
      <c r="N81" s="39"/>
      <c r="O81" s="39"/>
      <c r="P81" s="39"/>
      <c r="Q81" s="39"/>
      <c r="R81" s="32"/>
      <c r="S81" s="39"/>
      <c r="T81" s="52">
        <v>10000000</v>
      </c>
      <c r="U81" s="39"/>
      <c r="V81" s="39"/>
      <c r="W81" s="39"/>
      <c r="X81" s="39"/>
      <c r="Y81" s="39"/>
      <c r="Z81" s="39"/>
      <c r="AA81" s="71"/>
      <c r="AB81" s="64"/>
      <c r="AC81" s="29">
        <f t="shared" si="86"/>
        <v>3.0393699999999999E-2</v>
      </c>
      <c r="AD81" s="27">
        <f t="shared" si="71"/>
        <v>607874</v>
      </c>
      <c r="AE81" s="27"/>
      <c r="AF81" s="27"/>
      <c r="AG81" s="27"/>
      <c r="AH81" s="27"/>
      <c r="AI81" s="27">
        <f>+'[4]ABRIL 2016'!$O$1597</f>
        <v>607874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9">
        <f t="shared" si="87"/>
        <v>0.96960630000000003</v>
      </c>
      <c r="AZ81" s="27">
        <f t="shared" si="72"/>
        <v>19392126</v>
      </c>
      <c r="BA81" s="27">
        <f t="shared" si="73"/>
        <v>0</v>
      </c>
      <c r="BB81" s="27">
        <f t="shared" si="74"/>
        <v>0</v>
      </c>
      <c r="BC81" s="27">
        <f t="shared" si="74"/>
        <v>0</v>
      </c>
      <c r="BD81" s="27">
        <f t="shared" si="74"/>
        <v>0</v>
      </c>
      <c r="BE81" s="27">
        <f t="shared" si="93"/>
        <v>9392126</v>
      </c>
      <c r="BF81" s="27">
        <f t="shared" si="93"/>
        <v>0</v>
      </c>
      <c r="BG81" s="27">
        <f t="shared" si="93"/>
        <v>0</v>
      </c>
      <c r="BH81" s="27">
        <f t="shared" si="93"/>
        <v>0</v>
      </c>
      <c r="BI81" s="27">
        <f t="shared" si="93"/>
        <v>0</v>
      </c>
      <c r="BJ81" s="27">
        <f t="shared" si="93"/>
        <v>0</v>
      </c>
      <c r="BK81" s="27">
        <f t="shared" si="93"/>
        <v>0</v>
      </c>
      <c r="BL81" s="27">
        <f t="shared" si="93"/>
        <v>0</v>
      </c>
      <c r="BM81" s="27">
        <f t="shared" si="93"/>
        <v>10000000</v>
      </c>
      <c r="BN81" s="27">
        <f t="shared" si="93"/>
        <v>0</v>
      </c>
      <c r="BO81" s="27">
        <f t="shared" si="93"/>
        <v>0</v>
      </c>
      <c r="BP81" s="27">
        <f t="shared" si="93"/>
        <v>0</v>
      </c>
      <c r="BQ81" s="27"/>
      <c r="BR81" s="27"/>
      <c r="BS81" s="27">
        <f t="shared" si="76"/>
        <v>0</v>
      </c>
      <c r="BT81" s="27">
        <f t="shared" si="94"/>
        <v>0</v>
      </c>
      <c r="BU81" s="29">
        <f t="shared" si="88"/>
        <v>3.0393699999999999E-2</v>
      </c>
      <c r="BV81" s="27">
        <f t="shared" si="78"/>
        <v>607874</v>
      </c>
      <c r="BW81" s="27"/>
      <c r="BX81" s="27"/>
      <c r="BY81" s="27"/>
      <c r="BZ81" s="27"/>
      <c r="CA81" s="27">
        <f>+'[4]ABRIL 2016'!$H$1595</f>
        <v>607874</v>
      </c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9">
        <f t="shared" si="79"/>
        <v>0.96960630000000003</v>
      </c>
      <c r="CR81" s="27">
        <f t="shared" si="80"/>
        <v>19392126</v>
      </c>
      <c r="CS81" s="27">
        <f t="shared" si="98"/>
        <v>0</v>
      </c>
      <c r="CT81" s="27">
        <f t="shared" si="98"/>
        <v>0</v>
      </c>
      <c r="CU81" s="27">
        <f t="shared" si="98"/>
        <v>0</v>
      </c>
      <c r="CV81" s="27">
        <f t="shared" si="98"/>
        <v>0</v>
      </c>
      <c r="CW81" s="27">
        <f t="shared" si="98"/>
        <v>9392126</v>
      </c>
      <c r="CX81" s="27">
        <f t="shared" si="98"/>
        <v>0</v>
      </c>
      <c r="CY81" s="27">
        <f t="shared" si="98"/>
        <v>0</v>
      </c>
      <c r="CZ81" s="27">
        <f t="shared" si="99"/>
        <v>0</v>
      </c>
      <c r="DA81" s="27">
        <f t="shared" si="99"/>
        <v>0</v>
      </c>
      <c r="DB81" s="27">
        <f t="shared" si="99"/>
        <v>0</v>
      </c>
      <c r="DC81" s="27">
        <f t="shared" si="83"/>
        <v>0</v>
      </c>
      <c r="DD81" s="27">
        <f t="shared" si="83"/>
        <v>0</v>
      </c>
      <c r="DE81" s="27">
        <f t="shared" si="83"/>
        <v>10000000</v>
      </c>
      <c r="DF81" s="27">
        <f t="shared" si="96"/>
        <v>0</v>
      </c>
      <c r="DG81" s="27">
        <f t="shared" si="96"/>
        <v>0</v>
      </c>
      <c r="DH81" s="27">
        <f t="shared" si="96"/>
        <v>0</v>
      </c>
      <c r="DI81" s="27"/>
      <c r="DJ81" s="27">
        <f t="shared" si="100"/>
        <v>0</v>
      </c>
      <c r="DK81" s="61">
        <f t="shared" si="100"/>
        <v>0</v>
      </c>
      <c r="DL81" s="27">
        <f t="shared" si="97"/>
        <v>0</v>
      </c>
      <c r="DN81" s="33">
        <f t="shared" si="89"/>
        <v>20000000</v>
      </c>
      <c r="DO81" s="33">
        <f t="shared" si="90"/>
        <v>20000000</v>
      </c>
      <c r="DP81" s="33">
        <f t="shared" si="91"/>
        <v>20000000</v>
      </c>
    </row>
    <row r="82" spans="1:120" ht="24.75" customHeight="1" x14ac:dyDescent="0.25">
      <c r="A82" s="227"/>
      <c r="B82" s="230"/>
      <c r="C82" s="23" t="s">
        <v>233</v>
      </c>
      <c r="D82" s="72" t="s">
        <v>234</v>
      </c>
      <c r="E82" s="25">
        <v>520</v>
      </c>
      <c r="F82" s="73" t="s">
        <v>89</v>
      </c>
      <c r="G82" s="27">
        <f t="shared" si="70"/>
        <v>5000000</v>
      </c>
      <c r="H82" s="27"/>
      <c r="I82" s="39"/>
      <c r="J82" s="39"/>
      <c r="K82" s="39"/>
      <c r="L82" s="27">
        <v>1098558</v>
      </c>
      <c r="M82" s="39"/>
      <c r="N82" s="39"/>
      <c r="O82" s="39"/>
      <c r="P82" s="39"/>
      <c r="Q82" s="39"/>
      <c r="R82" s="32"/>
      <c r="S82" s="39"/>
      <c r="T82" s="52">
        <f>48901442-45000000</f>
        <v>3901442</v>
      </c>
      <c r="U82" s="39"/>
      <c r="V82" s="39"/>
      <c r="W82" s="39"/>
      <c r="X82" s="39"/>
      <c r="Y82" s="39"/>
      <c r="Z82" s="39"/>
      <c r="AA82" s="71"/>
      <c r="AB82" s="64"/>
      <c r="AC82" s="29">
        <f t="shared" si="86"/>
        <v>0</v>
      </c>
      <c r="AD82" s="27">
        <f t="shared" si="71"/>
        <v>0</v>
      </c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9">
        <f t="shared" si="87"/>
        <v>1</v>
      </c>
      <c r="AZ82" s="27">
        <f t="shared" si="72"/>
        <v>5000000</v>
      </c>
      <c r="BA82" s="27">
        <f t="shared" si="73"/>
        <v>0</v>
      </c>
      <c r="BB82" s="27">
        <f t="shared" si="74"/>
        <v>0</v>
      </c>
      <c r="BC82" s="27">
        <f t="shared" si="74"/>
        <v>0</v>
      </c>
      <c r="BD82" s="27">
        <f t="shared" si="74"/>
        <v>0</v>
      </c>
      <c r="BE82" s="27">
        <f t="shared" si="93"/>
        <v>1098558</v>
      </c>
      <c r="BF82" s="27">
        <f t="shared" si="93"/>
        <v>0</v>
      </c>
      <c r="BG82" s="27">
        <f t="shared" si="93"/>
        <v>0</v>
      </c>
      <c r="BH82" s="27">
        <f t="shared" si="93"/>
        <v>0</v>
      </c>
      <c r="BI82" s="27">
        <f t="shared" si="93"/>
        <v>0</v>
      </c>
      <c r="BJ82" s="27">
        <f t="shared" si="93"/>
        <v>0</v>
      </c>
      <c r="BK82" s="27">
        <f t="shared" si="93"/>
        <v>0</v>
      </c>
      <c r="BL82" s="27">
        <f t="shared" si="93"/>
        <v>0</v>
      </c>
      <c r="BM82" s="27">
        <f t="shared" si="93"/>
        <v>3901442</v>
      </c>
      <c r="BN82" s="27">
        <f t="shared" si="93"/>
        <v>0</v>
      </c>
      <c r="BO82" s="27">
        <f t="shared" si="93"/>
        <v>0</v>
      </c>
      <c r="BP82" s="27">
        <f t="shared" si="93"/>
        <v>0</v>
      </c>
      <c r="BQ82" s="27"/>
      <c r="BR82" s="27"/>
      <c r="BS82" s="27">
        <f t="shared" si="76"/>
        <v>0</v>
      </c>
      <c r="BT82" s="27">
        <f t="shared" si="94"/>
        <v>0</v>
      </c>
      <c r="BU82" s="29">
        <f t="shared" si="88"/>
        <v>0</v>
      </c>
      <c r="BV82" s="27">
        <f t="shared" si="78"/>
        <v>0</v>
      </c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9">
        <f t="shared" si="79"/>
        <v>1</v>
      </c>
      <c r="CR82" s="27">
        <f t="shared" si="80"/>
        <v>5000000</v>
      </c>
      <c r="CS82" s="27">
        <f t="shared" si="98"/>
        <v>0</v>
      </c>
      <c r="CT82" s="27">
        <f t="shared" si="98"/>
        <v>0</v>
      </c>
      <c r="CU82" s="27">
        <f t="shared" si="98"/>
        <v>0</v>
      </c>
      <c r="CV82" s="27">
        <f t="shared" si="98"/>
        <v>0</v>
      </c>
      <c r="CW82" s="27">
        <f t="shared" si="98"/>
        <v>1098558</v>
      </c>
      <c r="CX82" s="27">
        <f t="shared" si="98"/>
        <v>0</v>
      </c>
      <c r="CY82" s="27">
        <f t="shared" si="98"/>
        <v>0</v>
      </c>
      <c r="CZ82" s="27">
        <f t="shared" si="99"/>
        <v>0</v>
      </c>
      <c r="DA82" s="27">
        <f t="shared" si="99"/>
        <v>0</v>
      </c>
      <c r="DB82" s="27">
        <f t="shared" si="99"/>
        <v>0</v>
      </c>
      <c r="DC82" s="27">
        <f t="shared" si="83"/>
        <v>0</v>
      </c>
      <c r="DD82" s="27">
        <f t="shared" si="83"/>
        <v>0</v>
      </c>
      <c r="DE82" s="27">
        <f t="shared" si="83"/>
        <v>3901442</v>
      </c>
      <c r="DF82" s="27">
        <f t="shared" si="96"/>
        <v>0</v>
      </c>
      <c r="DG82" s="27">
        <f t="shared" si="96"/>
        <v>0</v>
      </c>
      <c r="DH82" s="27">
        <f t="shared" si="96"/>
        <v>0</v>
      </c>
      <c r="DI82" s="27"/>
      <c r="DJ82" s="27">
        <f t="shared" si="100"/>
        <v>0</v>
      </c>
      <c r="DK82" s="61">
        <f t="shared" si="100"/>
        <v>0</v>
      </c>
      <c r="DL82" s="27">
        <f t="shared" si="97"/>
        <v>0</v>
      </c>
      <c r="DN82" s="33">
        <f t="shared" si="89"/>
        <v>5000000</v>
      </c>
      <c r="DO82" s="33">
        <f t="shared" si="90"/>
        <v>5000000</v>
      </c>
      <c r="DP82" s="33">
        <f t="shared" si="91"/>
        <v>5000000</v>
      </c>
    </row>
    <row r="83" spans="1:120" ht="21" customHeight="1" x14ac:dyDescent="0.25">
      <c r="A83" s="227"/>
      <c r="B83" s="231"/>
      <c r="C83" s="23" t="s">
        <v>235</v>
      </c>
      <c r="D83" s="72" t="s">
        <v>236</v>
      </c>
      <c r="E83" s="25">
        <v>520</v>
      </c>
      <c r="F83" s="73" t="s">
        <v>89</v>
      </c>
      <c r="G83" s="27">
        <f t="shared" si="70"/>
        <v>20000000</v>
      </c>
      <c r="H83" s="27"/>
      <c r="I83" s="39"/>
      <c r="J83" s="39"/>
      <c r="K83" s="39"/>
      <c r="L83" s="27">
        <v>10000000</v>
      </c>
      <c r="M83" s="39"/>
      <c r="N83" s="39"/>
      <c r="O83" s="39"/>
      <c r="P83" s="39"/>
      <c r="Q83" s="39"/>
      <c r="R83" s="32"/>
      <c r="S83" s="39"/>
      <c r="T83" s="52">
        <v>10000000</v>
      </c>
      <c r="U83" s="39"/>
      <c r="V83" s="39"/>
      <c r="W83" s="39"/>
      <c r="X83" s="39"/>
      <c r="Y83" s="39"/>
      <c r="Z83" s="39"/>
      <c r="AA83" s="71"/>
      <c r="AB83" s="64"/>
      <c r="AC83" s="29">
        <f t="shared" si="86"/>
        <v>0.70690160000000002</v>
      </c>
      <c r="AD83" s="27">
        <f t="shared" si="71"/>
        <v>14138032</v>
      </c>
      <c r="AE83" s="27"/>
      <c r="AF83" s="27"/>
      <c r="AG83" s="27"/>
      <c r="AH83" s="27"/>
      <c r="AI83" s="27">
        <f>+'[4]ABRIL 2016'!$O$1609</f>
        <v>9950000</v>
      </c>
      <c r="AJ83" s="27"/>
      <c r="AK83" s="27"/>
      <c r="AL83" s="27"/>
      <c r="AM83" s="27"/>
      <c r="AN83" s="27"/>
      <c r="AO83" s="27"/>
      <c r="AP83" s="27"/>
      <c r="AQ83" s="27">
        <f>+'[1]JUNIO 2016'!$W$2109</f>
        <v>4188032</v>
      </c>
      <c r="AR83" s="27"/>
      <c r="AS83" s="27"/>
      <c r="AT83" s="27"/>
      <c r="AU83" s="27"/>
      <c r="AV83" s="27"/>
      <c r="AW83" s="27"/>
      <c r="AX83" s="27"/>
      <c r="AY83" s="29">
        <f t="shared" si="87"/>
        <v>0.29309839999999998</v>
      </c>
      <c r="AZ83" s="27">
        <f t="shared" si="72"/>
        <v>5861968</v>
      </c>
      <c r="BA83" s="27">
        <f t="shared" si="73"/>
        <v>0</v>
      </c>
      <c r="BB83" s="27">
        <f t="shared" si="74"/>
        <v>0</v>
      </c>
      <c r="BC83" s="27">
        <f t="shared" si="74"/>
        <v>0</v>
      </c>
      <c r="BD83" s="27">
        <f t="shared" si="74"/>
        <v>0</v>
      </c>
      <c r="BE83" s="27">
        <f t="shared" si="93"/>
        <v>50000</v>
      </c>
      <c r="BF83" s="27">
        <f t="shared" si="93"/>
        <v>0</v>
      </c>
      <c r="BG83" s="27">
        <f t="shared" si="93"/>
        <v>0</v>
      </c>
      <c r="BH83" s="27">
        <f t="shared" si="93"/>
        <v>0</v>
      </c>
      <c r="BI83" s="27">
        <f t="shared" si="93"/>
        <v>0</v>
      </c>
      <c r="BJ83" s="27">
        <f t="shared" si="93"/>
        <v>0</v>
      </c>
      <c r="BK83" s="27">
        <f t="shared" si="93"/>
        <v>0</v>
      </c>
      <c r="BL83" s="27">
        <f t="shared" si="93"/>
        <v>0</v>
      </c>
      <c r="BM83" s="27">
        <f t="shared" si="93"/>
        <v>5811968</v>
      </c>
      <c r="BN83" s="27">
        <f t="shared" si="93"/>
        <v>0</v>
      </c>
      <c r="BO83" s="27">
        <f t="shared" si="93"/>
        <v>0</v>
      </c>
      <c r="BP83" s="27">
        <f t="shared" si="93"/>
        <v>0</v>
      </c>
      <c r="BQ83" s="27"/>
      <c r="BR83" s="27">
        <f>+Y83-AV83</f>
        <v>0</v>
      </c>
      <c r="BS83" s="27">
        <f t="shared" si="76"/>
        <v>0</v>
      </c>
      <c r="BT83" s="27">
        <f t="shared" si="94"/>
        <v>0</v>
      </c>
      <c r="BU83" s="29">
        <f t="shared" si="88"/>
        <v>0.65140160000000003</v>
      </c>
      <c r="BV83" s="27">
        <f t="shared" si="78"/>
        <v>13028032</v>
      </c>
      <c r="BW83" s="27"/>
      <c r="BX83" s="27"/>
      <c r="BY83" s="27"/>
      <c r="BZ83" s="27"/>
      <c r="CA83" s="27">
        <v>9950000</v>
      </c>
      <c r="CB83" s="27"/>
      <c r="CC83" s="27"/>
      <c r="CD83" s="27"/>
      <c r="CE83" s="27"/>
      <c r="CF83" s="27"/>
      <c r="CG83" s="27"/>
      <c r="CH83" s="27"/>
      <c r="CI83" s="27">
        <f>+'[1]JUNIO 2016'!$H$2114+'[1]JUNIO 2016'!$H$2117+'[1]JUNIO 2016'!$H$2112+'[1]JUNIO 2016'!$H$2113</f>
        <v>3078032</v>
      </c>
      <c r="CJ83" s="27"/>
      <c r="CK83" s="27"/>
      <c r="CL83" s="27"/>
      <c r="CM83" s="27"/>
      <c r="CN83" s="27"/>
      <c r="CO83" s="27"/>
      <c r="CP83" s="27"/>
      <c r="CQ83" s="29">
        <f t="shared" si="79"/>
        <v>0.34859839999999997</v>
      </c>
      <c r="CR83" s="27">
        <f t="shared" si="80"/>
        <v>6971968</v>
      </c>
      <c r="CS83" s="27">
        <f t="shared" si="98"/>
        <v>0</v>
      </c>
      <c r="CT83" s="27">
        <f t="shared" si="98"/>
        <v>0</v>
      </c>
      <c r="CU83" s="27">
        <f t="shared" si="98"/>
        <v>0</v>
      </c>
      <c r="CV83" s="27">
        <f t="shared" si="98"/>
        <v>0</v>
      </c>
      <c r="CW83" s="27">
        <f t="shared" si="98"/>
        <v>50000</v>
      </c>
      <c r="CX83" s="27">
        <f t="shared" si="98"/>
        <v>0</v>
      </c>
      <c r="CY83" s="27">
        <f t="shared" si="98"/>
        <v>0</v>
      </c>
      <c r="CZ83" s="27">
        <f>O83-CD83</f>
        <v>0</v>
      </c>
      <c r="DA83" s="27">
        <f>P83-CE83</f>
        <v>0</v>
      </c>
      <c r="DB83" s="27">
        <f>Q83-CF83</f>
        <v>0</v>
      </c>
      <c r="DC83" s="27">
        <f t="shared" si="83"/>
        <v>0</v>
      </c>
      <c r="DD83" s="27">
        <f t="shared" si="83"/>
        <v>0</v>
      </c>
      <c r="DE83" s="27">
        <f t="shared" si="83"/>
        <v>6921968</v>
      </c>
      <c r="DF83" s="27">
        <f>U83-CJ83</f>
        <v>0</v>
      </c>
      <c r="DG83" s="27">
        <f>V83-CK83</f>
        <v>0</v>
      </c>
      <c r="DH83" s="27">
        <f>W83-CL83</f>
        <v>0</v>
      </c>
      <c r="DI83" s="27"/>
      <c r="DJ83" s="27">
        <f>Y83-CN83</f>
        <v>0</v>
      </c>
      <c r="DK83" s="27">
        <f>Z83-CO83</f>
        <v>0</v>
      </c>
      <c r="DL83" s="27">
        <f>AA83-CP83</f>
        <v>0</v>
      </c>
      <c r="DN83" s="33">
        <f t="shared" si="89"/>
        <v>20000000</v>
      </c>
      <c r="DO83" s="33">
        <f t="shared" si="90"/>
        <v>20000000</v>
      </c>
      <c r="DP83" s="33">
        <f t="shared" si="91"/>
        <v>20000000</v>
      </c>
    </row>
    <row r="84" spans="1:120" s="64" customFormat="1" ht="30" x14ac:dyDescent="0.25">
      <c r="A84" s="227" t="s">
        <v>175</v>
      </c>
      <c r="B84" s="229" t="s">
        <v>237</v>
      </c>
      <c r="C84" s="74" t="s">
        <v>238</v>
      </c>
      <c r="D84" s="24" t="s">
        <v>239</v>
      </c>
      <c r="E84" s="36">
        <v>520</v>
      </c>
      <c r="F84" s="73" t="s">
        <v>89</v>
      </c>
      <c r="G84" s="27">
        <f t="shared" si="70"/>
        <v>6000000</v>
      </c>
      <c r="H84" s="61"/>
      <c r="I84" s="32"/>
      <c r="J84" s="32"/>
      <c r="K84" s="32"/>
      <c r="L84" s="61">
        <v>6000000</v>
      </c>
      <c r="M84" s="32"/>
      <c r="N84" s="32"/>
      <c r="O84" s="32"/>
      <c r="P84" s="32"/>
      <c r="Q84" s="32"/>
      <c r="R84" s="32"/>
      <c r="S84" s="32"/>
      <c r="T84" s="52"/>
      <c r="U84" s="61"/>
      <c r="V84" s="61"/>
      <c r="W84" s="61"/>
      <c r="X84" s="61"/>
      <c r="Y84" s="61"/>
      <c r="Z84" s="61"/>
      <c r="AA84" s="61"/>
      <c r="AC84" s="65">
        <f t="shared" si="86"/>
        <v>0</v>
      </c>
      <c r="AD84" s="27">
        <f t="shared" si="71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87"/>
        <v>1</v>
      </c>
      <c r="AZ84" s="27">
        <f t="shared" si="72"/>
        <v>6000000</v>
      </c>
      <c r="BA84" s="27">
        <f t="shared" si="73"/>
        <v>0</v>
      </c>
      <c r="BB84" s="61">
        <f t="shared" si="74"/>
        <v>0</v>
      </c>
      <c r="BC84" s="61">
        <f t="shared" si="74"/>
        <v>0</v>
      </c>
      <c r="BD84" s="27">
        <f t="shared" si="74"/>
        <v>0</v>
      </c>
      <c r="BE84" s="61">
        <f t="shared" si="93"/>
        <v>6000000</v>
      </c>
      <c r="BF84" s="61">
        <f t="shared" si="93"/>
        <v>0</v>
      </c>
      <c r="BG84" s="27">
        <f t="shared" si="93"/>
        <v>0</v>
      </c>
      <c r="BH84" s="61">
        <f t="shared" si="93"/>
        <v>0</v>
      </c>
      <c r="BI84" s="61">
        <f t="shared" si="93"/>
        <v>0</v>
      </c>
      <c r="BJ84" s="27">
        <f t="shared" si="93"/>
        <v>0</v>
      </c>
      <c r="BK84" s="61">
        <f t="shared" si="93"/>
        <v>0</v>
      </c>
      <c r="BL84" s="61">
        <f t="shared" si="93"/>
        <v>0</v>
      </c>
      <c r="BM84" s="61">
        <f t="shared" si="93"/>
        <v>0</v>
      </c>
      <c r="BN84" s="61">
        <f t="shared" si="93"/>
        <v>0</v>
      </c>
      <c r="BO84" s="61">
        <f t="shared" si="93"/>
        <v>0</v>
      </c>
      <c r="BP84" s="61">
        <f t="shared" si="93"/>
        <v>0</v>
      </c>
      <c r="BQ84" s="61"/>
      <c r="BR84" s="61"/>
      <c r="BS84" s="27">
        <f t="shared" si="76"/>
        <v>0</v>
      </c>
      <c r="BT84" s="61">
        <f t="shared" si="94"/>
        <v>0</v>
      </c>
      <c r="BU84" s="65">
        <f t="shared" si="88"/>
        <v>0</v>
      </c>
      <c r="BV84" s="27">
        <f t="shared" si="78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79"/>
        <v>1</v>
      </c>
      <c r="CR84" s="27">
        <f t="shared" si="80"/>
        <v>6000000</v>
      </c>
      <c r="CS84" s="27">
        <f t="shared" si="98"/>
        <v>0</v>
      </c>
      <c r="CT84" s="27">
        <f t="shared" si="98"/>
        <v>0</v>
      </c>
      <c r="CU84" s="61">
        <f t="shared" si="98"/>
        <v>0</v>
      </c>
      <c r="CV84" s="27">
        <f t="shared" si="98"/>
        <v>0</v>
      </c>
      <c r="CW84" s="61">
        <f t="shared" si="98"/>
        <v>6000000</v>
      </c>
      <c r="CX84" s="61">
        <f t="shared" si="98"/>
        <v>0</v>
      </c>
      <c r="CY84" s="27">
        <f t="shared" si="98"/>
        <v>0</v>
      </c>
      <c r="CZ84" s="61">
        <f t="shared" ref="CZ84:DH90" si="101">+O84-CD84</f>
        <v>0</v>
      </c>
      <c r="DA84" s="61">
        <f t="shared" si="101"/>
        <v>0</v>
      </c>
      <c r="DB84" s="27">
        <f t="shared" si="101"/>
        <v>0</v>
      </c>
      <c r="DC84" s="61">
        <f t="shared" si="83"/>
        <v>0</v>
      </c>
      <c r="DD84" s="61">
        <f t="shared" si="83"/>
        <v>0</v>
      </c>
      <c r="DE84" s="61">
        <f t="shared" si="83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  <c r="DN84" s="33">
        <f t="shared" si="89"/>
        <v>6000000</v>
      </c>
      <c r="DO84" s="33">
        <f t="shared" si="90"/>
        <v>6000000</v>
      </c>
      <c r="DP84" s="33">
        <f t="shared" si="91"/>
        <v>6000000</v>
      </c>
    </row>
    <row r="85" spans="1:120" s="64" customFormat="1" ht="38.25" customHeight="1" x14ac:dyDescent="0.25">
      <c r="A85" s="227"/>
      <c r="B85" s="231"/>
      <c r="C85" s="74" t="s">
        <v>240</v>
      </c>
      <c r="D85" s="24" t="s">
        <v>241</v>
      </c>
      <c r="E85" s="36">
        <v>520</v>
      </c>
      <c r="F85" s="73" t="s">
        <v>89</v>
      </c>
      <c r="G85" s="27">
        <f t="shared" si="70"/>
        <v>6000000</v>
      </c>
      <c r="H85" s="61"/>
      <c r="I85" s="32"/>
      <c r="J85" s="32"/>
      <c r="K85" s="32"/>
      <c r="L85" s="63">
        <v>6000000</v>
      </c>
      <c r="M85" s="32"/>
      <c r="N85" s="32"/>
      <c r="O85" s="32"/>
      <c r="P85" s="32"/>
      <c r="Q85" s="32"/>
      <c r="R85" s="32"/>
      <c r="S85" s="32"/>
      <c r="T85" s="52"/>
      <c r="U85" s="61"/>
      <c r="V85" s="61"/>
      <c r="W85" s="61"/>
      <c r="X85" s="61"/>
      <c r="Y85" s="61"/>
      <c r="Z85" s="61"/>
      <c r="AA85" s="61"/>
      <c r="AC85" s="65">
        <f t="shared" si="86"/>
        <v>0</v>
      </c>
      <c r="AD85" s="27">
        <f t="shared" si="71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87"/>
        <v>1</v>
      </c>
      <c r="AZ85" s="27">
        <f t="shared" si="72"/>
        <v>6000000</v>
      </c>
      <c r="BA85" s="27">
        <f t="shared" si="73"/>
        <v>0</v>
      </c>
      <c r="BB85" s="61">
        <f t="shared" si="74"/>
        <v>0</v>
      </c>
      <c r="BC85" s="61">
        <f t="shared" si="74"/>
        <v>0</v>
      </c>
      <c r="BD85" s="27">
        <f t="shared" si="74"/>
        <v>0</v>
      </c>
      <c r="BE85" s="61">
        <f t="shared" si="93"/>
        <v>6000000</v>
      </c>
      <c r="BF85" s="61">
        <f t="shared" si="93"/>
        <v>0</v>
      </c>
      <c r="BG85" s="27">
        <f t="shared" si="93"/>
        <v>0</v>
      </c>
      <c r="BH85" s="61">
        <f t="shared" si="93"/>
        <v>0</v>
      </c>
      <c r="BI85" s="61">
        <f t="shared" si="93"/>
        <v>0</v>
      </c>
      <c r="BJ85" s="27">
        <f t="shared" si="93"/>
        <v>0</v>
      </c>
      <c r="BK85" s="61">
        <f t="shared" si="93"/>
        <v>0</v>
      </c>
      <c r="BL85" s="61">
        <f t="shared" si="93"/>
        <v>0</v>
      </c>
      <c r="BM85" s="61">
        <f t="shared" si="93"/>
        <v>0</v>
      </c>
      <c r="BN85" s="61">
        <f t="shared" si="93"/>
        <v>0</v>
      </c>
      <c r="BO85" s="61">
        <f t="shared" si="93"/>
        <v>0</v>
      </c>
      <c r="BP85" s="61">
        <f t="shared" si="93"/>
        <v>0</v>
      </c>
      <c r="BQ85" s="61"/>
      <c r="BR85" s="61">
        <f>+Y85-AV85</f>
        <v>0</v>
      </c>
      <c r="BS85" s="27">
        <f t="shared" si="76"/>
        <v>0</v>
      </c>
      <c r="BT85" s="61">
        <f t="shared" si="94"/>
        <v>0</v>
      </c>
      <c r="BU85" s="65">
        <f t="shared" si="88"/>
        <v>0</v>
      </c>
      <c r="BV85" s="27">
        <f t="shared" si="78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79"/>
        <v>1</v>
      </c>
      <c r="CR85" s="27">
        <f t="shared" si="80"/>
        <v>6000000</v>
      </c>
      <c r="CS85" s="27">
        <f t="shared" si="98"/>
        <v>0</v>
      </c>
      <c r="CT85" s="27">
        <f t="shared" si="98"/>
        <v>0</v>
      </c>
      <c r="CU85" s="61">
        <f t="shared" si="98"/>
        <v>0</v>
      </c>
      <c r="CV85" s="27">
        <f t="shared" si="98"/>
        <v>0</v>
      </c>
      <c r="CW85" s="61">
        <f t="shared" si="98"/>
        <v>6000000</v>
      </c>
      <c r="CX85" s="61">
        <f t="shared" si="98"/>
        <v>0</v>
      </c>
      <c r="CY85" s="27">
        <f t="shared" si="98"/>
        <v>0</v>
      </c>
      <c r="CZ85" s="61">
        <f t="shared" si="101"/>
        <v>0</v>
      </c>
      <c r="DA85" s="61">
        <f t="shared" si="101"/>
        <v>0</v>
      </c>
      <c r="DB85" s="27">
        <f t="shared" si="101"/>
        <v>0</v>
      </c>
      <c r="DC85" s="61">
        <f t="shared" si="83"/>
        <v>0</v>
      </c>
      <c r="DD85" s="61">
        <f t="shared" si="83"/>
        <v>0</v>
      </c>
      <c r="DE85" s="61">
        <f t="shared" si="83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  <c r="DN85" s="33">
        <f t="shared" si="89"/>
        <v>6000000</v>
      </c>
      <c r="DO85" s="33">
        <f t="shared" si="90"/>
        <v>6000000</v>
      </c>
      <c r="DP85" s="33">
        <f t="shared" si="91"/>
        <v>6000000</v>
      </c>
    </row>
    <row r="86" spans="1:120" ht="20.25" customHeight="1" x14ac:dyDescent="0.25">
      <c r="A86" s="227"/>
      <c r="B86" s="229" t="s">
        <v>242</v>
      </c>
      <c r="C86" s="23" t="s">
        <v>243</v>
      </c>
      <c r="D86" s="24" t="s">
        <v>244</v>
      </c>
      <c r="E86" s="25">
        <v>520</v>
      </c>
      <c r="F86" s="73" t="s">
        <v>89</v>
      </c>
      <c r="G86" s="27">
        <f t="shared" si="70"/>
        <v>33106800</v>
      </c>
      <c r="H86" s="27"/>
      <c r="I86" s="39"/>
      <c r="J86" s="27"/>
      <c r="K86" s="27"/>
      <c r="L86" s="63">
        <v>33106800</v>
      </c>
      <c r="M86" s="39"/>
      <c r="N86" s="39"/>
      <c r="O86" s="39"/>
      <c r="P86" s="39"/>
      <c r="Q86" s="39"/>
      <c r="R86" s="32"/>
      <c r="S86" s="39"/>
      <c r="T86" s="52"/>
      <c r="U86" s="27"/>
      <c r="V86" s="27"/>
      <c r="W86" s="27"/>
      <c r="X86" s="27"/>
      <c r="Y86" s="27"/>
      <c r="Z86" s="27"/>
      <c r="AA86" s="27"/>
      <c r="AB86" s="64"/>
      <c r="AC86" s="29">
        <f t="shared" si="86"/>
        <v>1</v>
      </c>
      <c r="AD86" s="27">
        <f t="shared" si="71"/>
        <v>33106800</v>
      </c>
      <c r="AE86" s="27"/>
      <c r="AF86" s="27"/>
      <c r="AG86" s="27"/>
      <c r="AH86" s="27"/>
      <c r="AI86" s="27">
        <f>+'[5]ENERO 2016'!$O$848</f>
        <v>33106800</v>
      </c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9">
        <f t="shared" si="87"/>
        <v>0</v>
      </c>
      <c r="AZ86" s="27">
        <f t="shared" si="72"/>
        <v>0</v>
      </c>
      <c r="BA86" s="27">
        <f t="shared" si="73"/>
        <v>0</v>
      </c>
      <c r="BB86" s="27">
        <f t="shared" si="74"/>
        <v>0</v>
      </c>
      <c r="BC86" s="27">
        <f t="shared" si="74"/>
        <v>0</v>
      </c>
      <c r="BD86" s="27">
        <f t="shared" si="74"/>
        <v>0</v>
      </c>
      <c r="BE86" s="27">
        <f t="shared" si="93"/>
        <v>0</v>
      </c>
      <c r="BF86" s="27">
        <f t="shared" si="93"/>
        <v>0</v>
      </c>
      <c r="BG86" s="27">
        <f t="shared" si="93"/>
        <v>0</v>
      </c>
      <c r="BH86" s="61">
        <f t="shared" si="93"/>
        <v>0</v>
      </c>
      <c r="BI86" s="27">
        <f t="shared" si="93"/>
        <v>0</v>
      </c>
      <c r="BJ86" s="27">
        <f t="shared" si="93"/>
        <v>0</v>
      </c>
      <c r="BK86" s="27">
        <f t="shared" si="93"/>
        <v>0</v>
      </c>
      <c r="BL86" s="27">
        <f t="shared" si="93"/>
        <v>0</v>
      </c>
      <c r="BM86" s="27">
        <f t="shared" si="93"/>
        <v>0</v>
      </c>
      <c r="BN86" s="27">
        <f t="shared" si="93"/>
        <v>0</v>
      </c>
      <c r="BO86" s="27">
        <f t="shared" si="93"/>
        <v>0</v>
      </c>
      <c r="BP86" s="27">
        <f t="shared" si="93"/>
        <v>0</v>
      </c>
      <c r="BQ86" s="27"/>
      <c r="BR86" s="27"/>
      <c r="BS86" s="27">
        <f t="shared" si="76"/>
        <v>0</v>
      </c>
      <c r="BT86" s="27">
        <f t="shared" si="94"/>
        <v>0</v>
      </c>
      <c r="BU86" s="29">
        <f t="shared" si="88"/>
        <v>1</v>
      </c>
      <c r="BV86" s="27">
        <f t="shared" si="78"/>
        <v>33106800</v>
      </c>
      <c r="BW86" s="27"/>
      <c r="BX86" s="27"/>
      <c r="BY86" s="27"/>
      <c r="BZ86" s="27"/>
      <c r="CA86" s="27">
        <f>+'[4]ABRIL 2016'!$H$1625</f>
        <v>33106800</v>
      </c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65">
        <f t="shared" si="79"/>
        <v>0</v>
      </c>
      <c r="CR86" s="27">
        <f t="shared" si="80"/>
        <v>0</v>
      </c>
      <c r="CS86" s="27">
        <f t="shared" si="98"/>
        <v>0</v>
      </c>
      <c r="CT86" s="27">
        <f t="shared" si="98"/>
        <v>0</v>
      </c>
      <c r="CU86" s="61">
        <f t="shared" si="98"/>
        <v>0</v>
      </c>
      <c r="CV86" s="27">
        <f t="shared" si="98"/>
        <v>0</v>
      </c>
      <c r="CW86" s="27">
        <f t="shared" si="98"/>
        <v>0</v>
      </c>
      <c r="CX86" s="61">
        <f t="shared" si="98"/>
        <v>0</v>
      </c>
      <c r="CY86" s="27">
        <f t="shared" si="98"/>
        <v>0</v>
      </c>
      <c r="CZ86" s="61">
        <f t="shared" si="101"/>
        <v>0</v>
      </c>
      <c r="DA86" s="61">
        <f t="shared" si="101"/>
        <v>0</v>
      </c>
      <c r="DB86" s="27">
        <f t="shared" si="101"/>
        <v>0</v>
      </c>
      <c r="DC86" s="61">
        <f t="shared" si="83"/>
        <v>0</v>
      </c>
      <c r="DD86" s="27">
        <f t="shared" si="83"/>
        <v>0</v>
      </c>
      <c r="DE86" s="27">
        <f t="shared" si="83"/>
        <v>0</v>
      </c>
      <c r="DF86" s="27">
        <f t="shared" ref="DF86:DH88" si="102">+U86-CJ86</f>
        <v>0</v>
      </c>
      <c r="DG86" s="27">
        <f t="shared" si="102"/>
        <v>0</v>
      </c>
      <c r="DH86" s="27">
        <f t="shared" si="102"/>
        <v>0</v>
      </c>
      <c r="DI86" s="27"/>
      <c r="DJ86" s="27">
        <f>+Y86-CN86</f>
        <v>0</v>
      </c>
      <c r="DK86" s="61">
        <f>Z86-CO86</f>
        <v>0</v>
      </c>
      <c r="DL86" s="27">
        <f>+AA86-CP86</f>
        <v>0</v>
      </c>
      <c r="DN86" s="33">
        <f t="shared" si="89"/>
        <v>33106800</v>
      </c>
      <c r="DO86" s="33">
        <f t="shared" si="90"/>
        <v>33106800</v>
      </c>
      <c r="DP86" s="33">
        <f t="shared" si="91"/>
        <v>33106800</v>
      </c>
    </row>
    <row r="87" spans="1:120" ht="19.5" customHeight="1" x14ac:dyDescent="0.25">
      <c r="A87" s="227"/>
      <c r="B87" s="230"/>
      <c r="C87" s="23" t="s">
        <v>245</v>
      </c>
      <c r="D87" s="24" t="s">
        <v>246</v>
      </c>
      <c r="E87" s="25">
        <v>520</v>
      </c>
      <c r="F87" s="73" t="s">
        <v>89</v>
      </c>
      <c r="G87" s="27">
        <f t="shared" si="70"/>
        <v>15184000</v>
      </c>
      <c r="H87" s="27"/>
      <c r="I87" s="39"/>
      <c r="J87" s="27"/>
      <c r="K87" s="27"/>
      <c r="L87" s="63">
        <v>15184000</v>
      </c>
      <c r="M87" s="39"/>
      <c r="N87" s="39"/>
      <c r="O87" s="39"/>
      <c r="P87" s="39"/>
      <c r="Q87" s="39"/>
      <c r="R87" s="32"/>
      <c r="S87" s="39"/>
      <c r="T87" s="52"/>
      <c r="U87" s="27"/>
      <c r="V87" s="27"/>
      <c r="W87" s="27"/>
      <c r="X87" s="27"/>
      <c r="Y87" s="27"/>
      <c r="Z87" s="27"/>
      <c r="AA87" s="27"/>
      <c r="AB87" s="64"/>
      <c r="AC87" s="29">
        <f t="shared" si="86"/>
        <v>1</v>
      </c>
      <c r="AD87" s="27">
        <f t="shared" si="71"/>
        <v>15184000</v>
      </c>
      <c r="AE87" s="27"/>
      <c r="AF87" s="27"/>
      <c r="AG87" s="27"/>
      <c r="AH87" s="27"/>
      <c r="AI87" s="27">
        <f>+'[5]ENERO 2016'!$O$854</f>
        <v>15184000</v>
      </c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9">
        <f t="shared" si="87"/>
        <v>0</v>
      </c>
      <c r="AZ87" s="27">
        <f t="shared" si="72"/>
        <v>0</v>
      </c>
      <c r="BA87" s="27">
        <f t="shared" si="73"/>
        <v>0</v>
      </c>
      <c r="BB87" s="27">
        <f t="shared" si="74"/>
        <v>0</v>
      </c>
      <c r="BC87" s="27">
        <f t="shared" si="74"/>
        <v>0</v>
      </c>
      <c r="BD87" s="27">
        <f t="shared" si="74"/>
        <v>0</v>
      </c>
      <c r="BE87" s="27">
        <f t="shared" ref="BE87:BP90" si="103">+L87-AI87</f>
        <v>0</v>
      </c>
      <c r="BF87" s="27">
        <f t="shared" si="103"/>
        <v>0</v>
      </c>
      <c r="BG87" s="27">
        <f t="shared" si="103"/>
        <v>0</v>
      </c>
      <c r="BH87" s="61">
        <f t="shared" si="103"/>
        <v>0</v>
      </c>
      <c r="BI87" s="27">
        <f t="shared" si="103"/>
        <v>0</v>
      </c>
      <c r="BJ87" s="27">
        <f t="shared" si="103"/>
        <v>0</v>
      </c>
      <c r="BK87" s="27">
        <f t="shared" si="103"/>
        <v>0</v>
      </c>
      <c r="BL87" s="27">
        <f t="shared" si="103"/>
        <v>0</v>
      </c>
      <c r="BM87" s="27">
        <f t="shared" si="103"/>
        <v>0</v>
      </c>
      <c r="BN87" s="27">
        <f t="shared" si="103"/>
        <v>0</v>
      </c>
      <c r="BO87" s="27">
        <f t="shared" si="103"/>
        <v>0</v>
      </c>
      <c r="BP87" s="27">
        <f t="shared" si="103"/>
        <v>0</v>
      </c>
      <c r="BQ87" s="27"/>
      <c r="BR87" s="27"/>
      <c r="BS87" s="27">
        <f t="shared" si="76"/>
        <v>0</v>
      </c>
      <c r="BT87" s="27">
        <f t="shared" si="94"/>
        <v>0</v>
      </c>
      <c r="BU87" s="29">
        <f t="shared" si="88"/>
        <v>0.55657448630136985</v>
      </c>
      <c r="BV87" s="27">
        <f t="shared" si="78"/>
        <v>8451027</v>
      </c>
      <c r="BW87" s="27"/>
      <c r="BX87" s="27"/>
      <c r="BY87" s="27"/>
      <c r="BZ87" s="27"/>
      <c r="CA87" s="27">
        <f>+'[3]MAYO 2016'!$H$1873</f>
        <v>8451027</v>
      </c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65">
        <f t="shared" si="79"/>
        <v>0.44342551369863015</v>
      </c>
      <c r="CR87" s="27">
        <f t="shared" si="80"/>
        <v>6732973</v>
      </c>
      <c r="CS87" s="27">
        <f t="shared" si="98"/>
        <v>0</v>
      </c>
      <c r="CT87" s="27">
        <f t="shared" si="98"/>
        <v>0</v>
      </c>
      <c r="CU87" s="61">
        <f t="shared" si="98"/>
        <v>0</v>
      </c>
      <c r="CV87" s="27">
        <f t="shared" si="98"/>
        <v>0</v>
      </c>
      <c r="CW87" s="27">
        <f t="shared" si="98"/>
        <v>6732973</v>
      </c>
      <c r="CX87" s="61">
        <f t="shared" si="98"/>
        <v>0</v>
      </c>
      <c r="CY87" s="27">
        <f t="shared" si="98"/>
        <v>0</v>
      </c>
      <c r="CZ87" s="61">
        <f t="shared" si="101"/>
        <v>0</v>
      </c>
      <c r="DA87" s="61">
        <f t="shared" si="101"/>
        <v>0</v>
      </c>
      <c r="DB87" s="27">
        <f t="shared" si="101"/>
        <v>0</v>
      </c>
      <c r="DC87" s="61">
        <f t="shared" si="83"/>
        <v>0</v>
      </c>
      <c r="DD87" s="27">
        <f t="shared" si="83"/>
        <v>0</v>
      </c>
      <c r="DE87" s="27">
        <f t="shared" si="83"/>
        <v>0</v>
      </c>
      <c r="DF87" s="27">
        <f t="shared" si="102"/>
        <v>0</v>
      </c>
      <c r="DG87" s="27">
        <f t="shared" si="102"/>
        <v>0</v>
      </c>
      <c r="DH87" s="27">
        <f t="shared" si="102"/>
        <v>0</v>
      </c>
      <c r="DI87" s="27"/>
      <c r="DJ87" s="27">
        <f>+Y87-CN87</f>
        <v>0</v>
      </c>
      <c r="DK87" s="61">
        <f>Z87-CO87</f>
        <v>0</v>
      </c>
      <c r="DL87" s="27">
        <f>+AA87-CP87</f>
        <v>0</v>
      </c>
      <c r="DN87" s="33">
        <f t="shared" si="89"/>
        <v>15184000</v>
      </c>
      <c r="DO87" s="33">
        <f t="shared" si="90"/>
        <v>15184000</v>
      </c>
      <c r="DP87" s="33">
        <f t="shared" si="91"/>
        <v>15184000</v>
      </c>
    </row>
    <row r="88" spans="1:120" ht="32.25" customHeight="1" x14ac:dyDescent="0.25">
      <c r="A88" s="227"/>
      <c r="B88" s="230"/>
      <c r="C88" s="23" t="s">
        <v>247</v>
      </c>
      <c r="D88" s="24" t="s">
        <v>248</v>
      </c>
      <c r="E88" s="25">
        <v>520</v>
      </c>
      <c r="F88" s="73" t="s">
        <v>89</v>
      </c>
      <c r="G88" s="27">
        <f t="shared" si="70"/>
        <v>17000000</v>
      </c>
      <c r="H88" s="27"/>
      <c r="I88" s="39"/>
      <c r="J88" s="39"/>
      <c r="K88" s="39"/>
      <c r="L88" s="63">
        <v>16000000</v>
      </c>
      <c r="M88" s="39"/>
      <c r="N88" s="39"/>
      <c r="O88" s="39"/>
      <c r="P88" s="39"/>
      <c r="Q88" s="39"/>
      <c r="R88" s="32"/>
      <c r="S88" s="39"/>
      <c r="T88" s="63"/>
      <c r="U88" s="27"/>
      <c r="V88" s="27"/>
      <c r="W88" s="27"/>
      <c r="X88" s="27"/>
      <c r="Y88" s="27"/>
      <c r="Z88" s="27"/>
      <c r="AA88" s="27">
        <f>1000000</f>
        <v>1000000</v>
      </c>
      <c r="AB88" s="64"/>
      <c r="AC88" s="29">
        <f t="shared" si="86"/>
        <v>0</v>
      </c>
      <c r="AD88" s="27">
        <f t="shared" si="71"/>
        <v>0</v>
      </c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9">
        <f t="shared" si="87"/>
        <v>1</v>
      </c>
      <c r="AZ88" s="27">
        <f t="shared" si="72"/>
        <v>17000000</v>
      </c>
      <c r="BA88" s="27">
        <f t="shared" si="73"/>
        <v>0</v>
      </c>
      <c r="BB88" s="27">
        <f t="shared" si="74"/>
        <v>0</v>
      </c>
      <c r="BC88" s="27">
        <f t="shared" si="74"/>
        <v>0</v>
      </c>
      <c r="BD88" s="27">
        <f t="shared" si="74"/>
        <v>0</v>
      </c>
      <c r="BE88" s="27">
        <f t="shared" si="103"/>
        <v>16000000</v>
      </c>
      <c r="BF88" s="27">
        <f t="shared" si="103"/>
        <v>0</v>
      </c>
      <c r="BG88" s="27">
        <f t="shared" si="103"/>
        <v>0</v>
      </c>
      <c r="BH88" s="61">
        <f t="shared" si="103"/>
        <v>0</v>
      </c>
      <c r="BI88" s="27">
        <f t="shared" si="103"/>
        <v>0</v>
      </c>
      <c r="BJ88" s="27">
        <f t="shared" si="103"/>
        <v>0</v>
      </c>
      <c r="BK88" s="27">
        <f t="shared" si="103"/>
        <v>0</v>
      </c>
      <c r="BL88" s="27">
        <f t="shared" si="103"/>
        <v>0</v>
      </c>
      <c r="BM88" s="27">
        <f t="shared" si="103"/>
        <v>0</v>
      </c>
      <c r="BN88" s="27">
        <f t="shared" si="103"/>
        <v>0</v>
      </c>
      <c r="BO88" s="27">
        <f t="shared" si="103"/>
        <v>0</v>
      </c>
      <c r="BP88" s="27">
        <f t="shared" si="103"/>
        <v>0</v>
      </c>
      <c r="BQ88" s="27"/>
      <c r="BR88" s="27"/>
      <c r="BS88" s="27">
        <f t="shared" si="76"/>
        <v>0</v>
      </c>
      <c r="BT88" s="27">
        <f t="shared" si="94"/>
        <v>1000000</v>
      </c>
      <c r="BU88" s="29">
        <f t="shared" si="88"/>
        <v>0</v>
      </c>
      <c r="BV88" s="27">
        <f t="shared" si="78"/>
        <v>0</v>
      </c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65">
        <f t="shared" si="79"/>
        <v>1</v>
      </c>
      <c r="CR88" s="27">
        <f t="shared" si="80"/>
        <v>17000000</v>
      </c>
      <c r="CS88" s="27">
        <f t="shared" si="98"/>
        <v>0</v>
      </c>
      <c r="CT88" s="27">
        <f t="shared" si="98"/>
        <v>0</v>
      </c>
      <c r="CU88" s="61">
        <f t="shared" si="98"/>
        <v>0</v>
      </c>
      <c r="CV88" s="27">
        <f t="shared" si="98"/>
        <v>0</v>
      </c>
      <c r="CW88" s="27">
        <f t="shared" si="98"/>
        <v>16000000</v>
      </c>
      <c r="CX88" s="61">
        <f t="shared" si="98"/>
        <v>0</v>
      </c>
      <c r="CY88" s="27">
        <f t="shared" si="98"/>
        <v>0</v>
      </c>
      <c r="CZ88" s="61">
        <f t="shared" si="101"/>
        <v>0</v>
      </c>
      <c r="DA88" s="61">
        <f t="shared" si="101"/>
        <v>0</v>
      </c>
      <c r="DB88" s="27">
        <f t="shared" si="101"/>
        <v>0</v>
      </c>
      <c r="DC88" s="61">
        <f t="shared" si="83"/>
        <v>0</v>
      </c>
      <c r="DD88" s="27">
        <f t="shared" si="83"/>
        <v>0</v>
      </c>
      <c r="DE88" s="27">
        <f t="shared" si="83"/>
        <v>0</v>
      </c>
      <c r="DF88" s="27">
        <f t="shared" si="102"/>
        <v>0</v>
      </c>
      <c r="DG88" s="27">
        <f t="shared" si="102"/>
        <v>0</v>
      </c>
      <c r="DH88" s="27">
        <f t="shared" si="102"/>
        <v>0</v>
      </c>
      <c r="DI88" s="27"/>
      <c r="DJ88" s="27">
        <f>+Y88-CN88</f>
        <v>0</v>
      </c>
      <c r="DK88" s="61">
        <f>Z88-CO88</f>
        <v>0</v>
      </c>
      <c r="DL88" s="27">
        <f>+AA88-CP88</f>
        <v>1000000</v>
      </c>
      <c r="DN88" s="33">
        <f t="shared" si="89"/>
        <v>17000000</v>
      </c>
      <c r="DO88" s="33">
        <f t="shared" si="90"/>
        <v>17000000</v>
      </c>
      <c r="DP88" s="33">
        <f t="shared" si="91"/>
        <v>17000000</v>
      </c>
    </row>
    <row r="89" spans="1:120" ht="24" customHeight="1" x14ac:dyDescent="0.25">
      <c r="A89" s="227"/>
      <c r="B89" s="230"/>
      <c r="C89" s="75" t="s">
        <v>249</v>
      </c>
      <c r="D89" s="24" t="s">
        <v>250</v>
      </c>
      <c r="E89" s="25">
        <v>520</v>
      </c>
      <c r="F89" s="73" t="s">
        <v>89</v>
      </c>
      <c r="G89" s="27">
        <f t="shared" si="70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29">
        <f t="shared" si="86"/>
        <v>1</v>
      </c>
      <c r="AD89" s="27">
        <f t="shared" si="71"/>
        <v>300709200</v>
      </c>
      <c r="AE89" s="76"/>
      <c r="AF89" s="76"/>
      <c r="AG89" s="76"/>
      <c r="AH89" s="76"/>
      <c r="AI89" s="76">
        <f>+'[5]ENERO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+'[5]ENERO 2016'!$W$864</f>
        <v>265000000</v>
      </c>
      <c r="AR89" s="76"/>
      <c r="AS89" s="76"/>
      <c r="AT89" s="76"/>
      <c r="AU89" s="76"/>
      <c r="AV89" s="76"/>
      <c r="AW89" s="76"/>
      <c r="AX89" s="76"/>
      <c r="AY89" s="29">
        <f t="shared" si="87"/>
        <v>0</v>
      </c>
      <c r="AZ89" s="27">
        <f t="shared" si="72"/>
        <v>0</v>
      </c>
      <c r="BA89" s="27">
        <f t="shared" si="73"/>
        <v>0</v>
      </c>
      <c r="BB89" s="27">
        <f t="shared" si="74"/>
        <v>0</v>
      </c>
      <c r="BC89" s="27">
        <f t="shared" si="74"/>
        <v>0</v>
      </c>
      <c r="BD89" s="27">
        <f t="shared" si="74"/>
        <v>0</v>
      </c>
      <c r="BE89" s="27">
        <f t="shared" si="103"/>
        <v>0</v>
      </c>
      <c r="BF89" s="27">
        <f t="shared" si="103"/>
        <v>0</v>
      </c>
      <c r="BG89" s="27">
        <f t="shared" si="103"/>
        <v>0</v>
      </c>
      <c r="BH89" s="61">
        <f t="shared" si="103"/>
        <v>0</v>
      </c>
      <c r="BI89" s="27">
        <f t="shared" si="103"/>
        <v>0</v>
      </c>
      <c r="BJ89" s="27">
        <f t="shared" si="103"/>
        <v>0</v>
      </c>
      <c r="BK89" s="27">
        <f t="shared" si="103"/>
        <v>0</v>
      </c>
      <c r="BL89" s="27">
        <f t="shared" si="103"/>
        <v>0</v>
      </c>
      <c r="BM89" s="27">
        <f t="shared" si="103"/>
        <v>0</v>
      </c>
      <c r="BN89" s="27">
        <f t="shared" si="103"/>
        <v>0</v>
      </c>
      <c r="BO89" s="27">
        <f t="shared" si="103"/>
        <v>0</v>
      </c>
      <c r="BP89" s="27">
        <f t="shared" si="103"/>
        <v>0</v>
      </c>
      <c r="BQ89" s="27"/>
      <c r="BR89" s="27">
        <f>+Y89-AV89</f>
        <v>0</v>
      </c>
      <c r="BS89" s="27">
        <f t="shared" si="76"/>
        <v>0</v>
      </c>
      <c r="BT89" s="27">
        <f t="shared" si="94"/>
        <v>0</v>
      </c>
      <c r="BU89" s="29">
        <f t="shared" si="88"/>
        <v>0.81766598095435727</v>
      </c>
      <c r="BV89" s="27">
        <f t="shared" si="78"/>
        <v>245879683</v>
      </c>
      <c r="BW89" s="76"/>
      <c r="BX89" s="76"/>
      <c r="BY89" s="76"/>
      <c r="BZ89" s="76"/>
      <c r="CA89" s="76">
        <f>+'[3]MAYO 2016'!$H$1889</f>
        <v>33050686</v>
      </c>
      <c r="CB89" s="76"/>
      <c r="CC89" s="76"/>
      <c r="CD89" s="76"/>
      <c r="CE89" s="76"/>
      <c r="CF89" s="76"/>
      <c r="CG89" s="76"/>
      <c r="CH89" s="76"/>
      <c r="CI89" s="76">
        <f>+'[1]JUNIO 2016'!$H$2154-'[1]JUNIO 2016'!$H$2157</f>
        <v>212828997</v>
      </c>
      <c r="CJ89" s="76"/>
      <c r="CK89" s="76"/>
      <c r="CL89" s="76"/>
      <c r="CM89" s="76"/>
      <c r="CN89" s="76"/>
      <c r="CO89" s="76"/>
      <c r="CP89" s="76"/>
      <c r="CQ89" s="65">
        <f t="shared" si="79"/>
        <v>0.18233401904564273</v>
      </c>
      <c r="CR89" s="27">
        <f t="shared" si="80"/>
        <v>54829517</v>
      </c>
      <c r="CS89" s="27">
        <f t="shared" si="98"/>
        <v>0</v>
      </c>
      <c r="CT89" s="27">
        <f t="shared" si="98"/>
        <v>0</v>
      </c>
      <c r="CU89" s="61">
        <f t="shared" si="98"/>
        <v>0</v>
      </c>
      <c r="CV89" s="27">
        <f t="shared" si="98"/>
        <v>0</v>
      </c>
      <c r="CW89" s="27">
        <f t="shared" si="98"/>
        <v>2658514</v>
      </c>
      <c r="CX89" s="61">
        <f t="shared" si="98"/>
        <v>0</v>
      </c>
      <c r="CY89" s="27">
        <f t="shared" si="98"/>
        <v>0</v>
      </c>
      <c r="CZ89" s="61">
        <f t="shared" si="101"/>
        <v>0</v>
      </c>
      <c r="DA89" s="61">
        <f t="shared" si="101"/>
        <v>0</v>
      </c>
      <c r="DB89" s="27">
        <f t="shared" si="101"/>
        <v>0</v>
      </c>
      <c r="DC89" s="61">
        <f t="shared" si="83"/>
        <v>0</v>
      </c>
      <c r="DD89" s="61">
        <f t="shared" si="83"/>
        <v>0</v>
      </c>
      <c r="DE89" s="61">
        <f t="shared" si="83"/>
        <v>52171003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  <c r="DN89" s="33">
        <f t="shared" si="89"/>
        <v>300709200</v>
      </c>
      <c r="DO89" s="33">
        <f t="shared" si="90"/>
        <v>300709200</v>
      </c>
      <c r="DP89" s="33">
        <f t="shared" si="91"/>
        <v>300709200</v>
      </c>
    </row>
    <row r="90" spans="1:120" ht="23.25" customHeight="1" x14ac:dyDescent="0.25">
      <c r="A90" s="228"/>
      <c r="B90" s="231"/>
      <c r="C90" s="23" t="s">
        <v>251</v>
      </c>
      <c r="D90" s="24" t="s">
        <v>252</v>
      </c>
      <c r="E90" s="25">
        <v>520</v>
      </c>
      <c r="F90" s="26" t="s">
        <v>253</v>
      </c>
      <c r="G90" s="27">
        <f t="shared" si="70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29">
        <f t="shared" si="86"/>
        <v>2.6265950789760177E-2</v>
      </c>
      <c r="AD90" s="27">
        <f t="shared" si="71"/>
        <v>830000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>
        <f>+'[3]MAYO 2016'!$AG$1923</f>
        <v>830000</v>
      </c>
      <c r="AY90" s="29">
        <f t="shared" si="87"/>
        <v>0.97373404921023987</v>
      </c>
      <c r="AZ90" s="27">
        <f t="shared" si="72"/>
        <v>30769846</v>
      </c>
      <c r="BA90" s="27">
        <f t="shared" si="73"/>
        <v>0</v>
      </c>
      <c r="BB90" s="27">
        <f t="shared" si="74"/>
        <v>0</v>
      </c>
      <c r="BC90" s="27">
        <f t="shared" si="74"/>
        <v>0</v>
      </c>
      <c r="BD90" s="27">
        <f t="shared" si="74"/>
        <v>0</v>
      </c>
      <c r="BE90" s="27">
        <f t="shared" si="103"/>
        <v>0</v>
      </c>
      <c r="BF90" s="27">
        <f t="shared" si="103"/>
        <v>0</v>
      </c>
      <c r="BG90" s="27">
        <f t="shared" si="103"/>
        <v>0</v>
      </c>
      <c r="BH90" s="61">
        <f t="shared" si="103"/>
        <v>0</v>
      </c>
      <c r="BI90" s="27">
        <f t="shared" si="103"/>
        <v>0</v>
      </c>
      <c r="BJ90" s="27">
        <f t="shared" si="103"/>
        <v>0</v>
      </c>
      <c r="BK90" s="27">
        <f t="shared" si="103"/>
        <v>0</v>
      </c>
      <c r="BL90" s="27">
        <f t="shared" si="103"/>
        <v>0</v>
      </c>
      <c r="BM90" s="27">
        <f t="shared" si="103"/>
        <v>0</v>
      </c>
      <c r="BN90" s="27">
        <f t="shared" si="103"/>
        <v>0</v>
      </c>
      <c r="BO90" s="27">
        <f t="shared" si="103"/>
        <v>0</v>
      </c>
      <c r="BP90" s="27">
        <f t="shared" si="103"/>
        <v>0</v>
      </c>
      <c r="BQ90" s="27"/>
      <c r="BR90" s="27">
        <f>+Y90-AV90</f>
        <v>0</v>
      </c>
      <c r="BS90" s="27">
        <f t="shared" si="76"/>
        <v>0</v>
      </c>
      <c r="BT90" s="27">
        <f t="shared" si="94"/>
        <v>30769846</v>
      </c>
      <c r="BU90" s="29">
        <f t="shared" si="88"/>
        <v>2.6265950789760177E-2</v>
      </c>
      <c r="BV90" s="27">
        <f t="shared" si="78"/>
        <v>830000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>
        <f>+'[3]MAYO 2016'!$H$1921</f>
        <v>830000</v>
      </c>
      <c r="CQ90" s="65">
        <f t="shared" si="79"/>
        <v>0.97373404921023987</v>
      </c>
      <c r="CR90" s="27">
        <f t="shared" si="80"/>
        <v>30769846</v>
      </c>
      <c r="CS90" s="27">
        <f t="shared" si="98"/>
        <v>0</v>
      </c>
      <c r="CT90" s="27">
        <f t="shared" si="98"/>
        <v>0</v>
      </c>
      <c r="CU90" s="61">
        <f t="shared" si="98"/>
        <v>0</v>
      </c>
      <c r="CV90" s="27">
        <f t="shared" si="98"/>
        <v>0</v>
      </c>
      <c r="CW90" s="27">
        <f t="shared" si="98"/>
        <v>0</v>
      </c>
      <c r="CX90" s="61">
        <f t="shared" si="98"/>
        <v>0</v>
      </c>
      <c r="CY90" s="27">
        <f t="shared" si="98"/>
        <v>0</v>
      </c>
      <c r="CZ90" s="61">
        <f t="shared" si="101"/>
        <v>0</v>
      </c>
      <c r="DA90" s="61">
        <f t="shared" si="101"/>
        <v>0</v>
      </c>
      <c r="DB90" s="27">
        <f t="shared" si="101"/>
        <v>0</v>
      </c>
      <c r="DC90" s="27">
        <f t="shared" si="101"/>
        <v>0</v>
      </c>
      <c r="DD90" s="27">
        <f t="shared" si="101"/>
        <v>0</v>
      </c>
      <c r="DE90" s="27">
        <f t="shared" si="101"/>
        <v>0</v>
      </c>
      <c r="DF90" s="27">
        <f t="shared" si="101"/>
        <v>0</v>
      </c>
      <c r="DG90" s="27">
        <f t="shared" si="101"/>
        <v>0</v>
      </c>
      <c r="DH90" s="27">
        <f t="shared" si="101"/>
        <v>0</v>
      </c>
      <c r="DI90" s="27"/>
      <c r="DJ90" s="27">
        <f>+Y90-CN90</f>
        <v>0</v>
      </c>
      <c r="DK90" s="27">
        <f>+Z90-CO90</f>
        <v>0</v>
      </c>
      <c r="DL90" s="27">
        <f>+AA90-CP90</f>
        <v>30769846</v>
      </c>
      <c r="DN90" s="33">
        <f t="shared" si="89"/>
        <v>31599846</v>
      </c>
      <c r="DO90" s="33">
        <f t="shared" si="90"/>
        <v>31599846</v>
      </c>
      <c r="DP90" s="33">
        <f t="shared" si="91"/>
        <v>31599846</v>
      </c>
    </row>
    <row r="91" spans="1:120" s="50" customFormat="1" ht="18.75" customHeight="1" thickBot="1" x14ac:dyDescent="0.3">
      <c r="A91" s="79"/>
      <c r="B91" s="243" t="s">
        <v>254</v>
      </c>
      <c r="C91" s="244"/>
      <c r="D91" s="244"/>
      <c r="E91" s="244"/>
      <c r="F91" s="245"/>
      <c r="G91" s="68">
        <f>SUM(G59:G90)</f>
        <v>1600540286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104">SUM(M59:M88)</f>
        <v>50000000</v>
      </c>
      <c r="N91" s="68">
        <f t="shared" si="104"/>
        <v>0</v>
      </c>
      <c r="O91" s="68">
        <f t="shared" si="104"/>
        <v>0</v>
      </c>
      <c r="P91" s="68">
        <f t="shared" si="104"/>
        <v>0</v>
      </c>
      <c r="Q91" s="68">
        <f t="shared" si="104"/>
        <v>0</v>
      </c>
      <c r="R91" s="68">
        <f t="shared" si="104"/>
        <v>0</v>
      </c>
      <c r="S91" s="68">
        <f>SUM(S59:S90)</f>
        <v>200000000</v>
      </c>
      <c r="T91" s="68">
        <f>SUM(T59:T90)</f>
        <v>333901442</v>
      </c>
      <c r="U91" s="68">
        <f t="shared" ref="U91:Z91" si="105">SUM(U59:U88)</f>
        <v>0</v>
      </c>
      <c r="V91" s="68">
        <f t="shared" si="105"/>
        <v>0</v>
      </c>
      <c r="W91" s="68">
        <f t="shared" si="105"/>
        <v>0</v>
      </c>
      <c r="X91" s="68">
        <f t="shared" si="105"/>
        <v>0</v>
      </c>
      <c r="Y91" s="68">
        <f t="shared" si="105"/>
        <v>0</v>
      </c>
      <c r="Z91" s="68">
        <f t="shared" si="105"/>
        <v>0</v>
      </c>
      <c r="AA91" s="68">
        <f>SUM(AA59:AA90)</f>
        <v>496638844</v>
      </c>
      <c r="AC91" s="46">
        <f t="shared" si="86"/>
        <v>0.73839405626807197</v>
      </c>
      <c r="AD91" s="68">
        <f>SUM(AD59:AD90)</f>
        <v>1181829434</v>
      </c>
      <c r="AE91" s="68"/>
      <c r="AF91" s="68">
        <f t="shared" ref="AF91:AX91" si="106">SUM(AF59:AF90)</f>
        <v>0</v>
      </c>
      <c r="AG91" s="68">
        <f t="shared" si="106"/>
        <v>0</v>
      </c>
      <c r="AH91" s="68">
        <f t="shared" si="106"/>
        <v>0</v>
      </c>
      <c r="AI91" s="68">
        <f t="shared" si="106"/>
        <v>282138473</v>
      </c>
      <c r="AJ91" s="68">
        <f t="shared" si="106"/>
        <v>24212635</v>
      </c>
      <c r="AK91" s="68">
        <f t="shared" si="106"/>
        <v>0</v>
      </c>
      <c r="AL91" s="68">
        <f t="shared" si="106"/>
        <v>0</v>
      </c>
      <c r="AM91" s="68">
        <f t="shared" si="106"/>
        <v>0</v>
      </c>
      <c r="AN91" s="68">
        <f t="shared" si="106"/>
        <v>0</v>
      </c>
      <c r="AO91" s="68">
        <f t="shared" si="106"/>
        <v>0</v>
      </c>
      <c r="AP91" s="68">
        <f t="shared" si="106"/>
        <v>196388655</v>
      </c>
      <c r="AQ91" s="68">
        <f t="shared" si="106"/>
        <v>286026149</v>
      </c>
      <c r="AR91" s="68">
        <f t="shared" si="106"/>
        <v>0</v>
      </c>
      <c r="AS91" s="68">
        <f t="shared" si="106"/>
        <v>0</v>
      </c>
      <c r="AT91" s="68">
        <f t="shared" si="106"/>
        <v>0</v>
      </c>
      <c r="AU91" s="68">
        <f t="shared" si="106"/>
        <v>0</v>
      </c>
      <c r="AV91" s="68">
        <f t="shared" si="106"/>
        <v>0</v>
      </c>
      <c r="AW91" s="68">
        <f t="shared" si="106"/>
        <v>0</v>
      </c>
      <c r="AX91" s="68">
        <f t="shared" si="106"/>
        <v>393063522</v>
      </c>
      <c r="AY91" s="46">
        <f t="shared" si="87"/>
        <v>0.26160594373192803</v>
      </c>
      <c r="AZ91" s="68">
        <f>SUM(AZ59:AZ90)</f>
        <v>418710852</v>
      </c>
      <c r="BA91" s="68"/>
      <c r="BB91" s="68">
        <f t="shared" ref="BB91:BT91" si="107">SUM(BB59:BB90)</f>
        <v>0</v>
      </c>
      <c r="BC91" s="68">
        <f t="shared" si="107"/>
        <v>0</v>
      </c>
      <c r="BD91" s="68">
        <f t="shared" si="107"/>
        <v>0</v>
      </c>
      <c r="BE91" s="68">
        <f t="shared" si="107"/>
        <v>237861527</v>
      </c>
      <c r="BF91" s="68">
        <f t="shared" si="107"/>
        <v>25787365</v>
      </c>
      <c r="BG91" s="68">
        <f t="shared" si="107"/>
        <v>0</v>
      </c>
      <c r="BH91" s="68">
        <f t="shared" si="107"/>
        <v>0</v>
      </c>
      <c r="BI91" s="68">
        <f t="shared" si="107"/>
        <v>0</v>
      </c>
      <c r="BJ91" s="68">
        <f t="shared" si="107"/>
        <v>0</v>
      </c>
      <c r="BK91" s="68">
        <f t="shared" si="107"/>
        <v>0</v>
      </c>
      <c r="BL91" s="68">
        <f t="shared" si="107"/>
        <v>3611345</v>
      </c>
      <c r="BM91" s="68">
        <f t="shared" si="107"/>
        <v>47875293</v>
      </c>
      <c r="BN91" s="68">
        <f t="shared" si="107"/>
        <v>0</v>
      </c>
      <c r="BO91" s="68">
        <f t="shared" si="107"/>
        <v>0</v>
      </c>
      <c r="BP91" s="68">
        <f t="shared" si="107"/>
        <v>0</v>
      </c>
      <c r="BQ91" s="68">
        <f t="shared" si="107"/>
        <v>0</v>
      </c>
      <c r="BR91" s="68">
        <f t="shared" si="107"/>
        <v>0</v>
      </c>
      <c r="BS91" s="68">
        <f t="shared" si="107"/>
        <v>0</v>
      </c>
      <c r="BT91" s="68">
        <f t="shared" si="107"/>
        <v>103575322</v>
      </c>
      <c r="BU91" s="46">
        <f t="shared" si="88"/>
        <v>0.5763361916402272</v>
      </c>
      <c r="BV91" s="68">
        <f t="shared" ref="BV91:CL91" si="108">SUM(BV59:BV90)</f>
        <v>922449293</v>
      </c>
      <c r="BW91" s="68">
        <f t="shared" si="108"/>
        <v>0</v>
      </c>
      <c r="BX91" s="68">
        <f t="shared" si="108"/>
        <v>0</v>
      </c>
      <c r="BY91" s="68">
        <f t="shared" si="108"/>
        <v>0</v>
      </c>
      <c r="BZ91" s="68">
        <f t="shared" si="108"/>
        <v>0</v>
      </c>
      <c r="CA91" s="68">
        <f t="shared" si="108"/>
        <v>222563715</v>
      </c>
      <c r="CB91" s="68">
        <f t="shared" si="108"/>
        <v>24212635</v>
      </c>
      <c r="CC91" s="68">
        <f t="shared" si="108"/>
        <v>0</v>
      </c>
      <c r="CD91" s="68">
        <f t="shared" si="108"/>
        <v>0</v>
      </c>
      <c r="CE91" s="68">
        <f t="shared" si="108"/>
        <v>0</v>
      </c>
      <c r="CF91" s="68">
        <f t="shared" si="108"/>
        <v>0</v>
      </c>
      <c r="CG91" s="68">
        <f t="shared" si="108"/>
        <v>0</v>
      </c>
      <c r="CH91" s="68">
        <f t="shared" si="108"/>
        <v>162882922</v>
      </c>
      <c r="CI91" s="68">
        <f t="shared" si="108"/>
        <v>232521071</v>
      </c>
      <c r="CJ91" s="68">
        <f t="shared" si="108"/>
        <v>0</v>
      </c>
      <c r="CK91" s="68">
        <f t="shared" si="108"/>
        <v>0</v>
      </c>
      <c r="CL91" s="68">
        <f t="shared" si="108"/>
        <v>0</v>
      </c>
      <c r="CM91" s="68"/>
      <c r="CN91" s="68">
        <f>SUM(CN59:CN90)</f>
        <v>0</v>
      </c>
      <c r="CO91" s="68">
        <f>SUM(CO59:CO90)</f>
        <v>0</v>
      </c>
      <c r="CP91" s="68">
        <f>SUM(CP59:CP90)</f>
        <v>280268950</v>
      </c>
      <c r="CQ91" s="46">
        <f t="shared" si="79"/>
        <v>0.4236638083597728</v>
      </c>
      <c r="CR91" s="68">
        <f t="shared" ref="CR91:DL91" si="109">SUM(CR59:CR90)</f>
        <v>678090993</v>
      </c>
      <c r="CS91" s="68">
        <f t="shared" si="109"/>
        <v>0</v>
      </c>
      <c r="CT91" s="68">
        <f t="shared" si="109"/>
        <v>0</v>
      </c>
      <c r="CU91" s="68">
        <f t="shared" si="109"/>
        <v>0</v>
      </c>
      <c r="CV91" s="68">
        <f t="shared" si="109"/>
        <v>0</v>
      </c>
      <c r="CW91" s="68">
        <f t="shared" si="109"/>
        <v>297436285</v>
      </c>
      <c r="CX91" s="68">
        <f t="shared" si="109"/>
        <v>25787365</v>
      </c>
      <c r="CY91" s="68">
        <f t="shared" si="109"/>
        <v>0</v>
      </c>
      <c r="CZ91" s="68">
        <f t="shared" si="109"/>
        <v>0</v>
      </c>
      <c r="DA91" s="68">
        <f t="shared" si="109"/>
        <v>0</v>
      </c>
      <c r="DB91" s="68">
        <f t="shared" si="109"/>
        <v>0</v>
      </c>
      <c r="DC91" s="68">
        <f t="shared" si="109"/>
        <v>0</v>
      </c>
      <c r="DD91" s="68">
        <f t="shared" si="109"/>
        <v>37117078</v>
      </c>
      <c r="DE91" s="68">
        <f t="shared" si="109"/>
        <v>101380371</v>
      </c>
      <c r="DF91" s="68">
        <f t="shared" si="109"/>
        <v>0</v>
      </c>
      <c r="DG91" s="68">
        <f t="shared" si="109"/>
        <v>0</v>
      </c>
      <c r="DH91" s="68">
        <f t="shared" si="109"/>
        <v>0</v>
      </c>
      <c r="DI91" s="68">
        <f t="shared" si="109"/>
        <v>0</v>
      </c>
      <c r="DJ91" s="68">
        <f t="shared" si="109"/>
        <v>0</v>
      </c>
      <c r="DK91" s="68">
        <f t="shared" si="109"/>
        <v>0</v>
      </c>
      <c r="DL91" s="68">
        <f t="shared" si="109"/>
        <v>216369894</v>
      </c>
      <c r="DN91" s="33">
        <f t="shared" si="89"/>
        <v>1600540286</v>
      </c>
      <c r="DO91" s="33">
        <f t="shared" si="90"/>
        <v>1600540286</v>
      </c>
      <c r="DP91" s="33">
        <f t="shared" si="91"/>
        <v>1600540286</v>
      </c>
    </row>
    <row r="92" spans="1:120" ht="6" customHeight="1" thickTop="1" x14ac:dyDescent="0.25">
      <c r="B92" s="80"/>
      <c r="C92" s="81"/>
      <c r="D92" s="82"/>
      <c r="E92" s="83"/>
      <c r="F92" s="84"/>
      <c r="G92" s="85"/>
      <c r="H92" s="85"/>
      <c r="I92" s="85"/>
      <c r="J92" s="85"/>
      <c r="K92" s="85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7"/>
      <c r="AC92" s="88"/>
      <c r="AD92" s="89"/>
      <c r="AE92" s="89"/>
      <c r="AF92" s="89"/>
      <c r="AG92" s="89"/>
      <c r="AH92" s="89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1"/>
      <c r="AZ92" s="89"/>
      <c r="BA92" s="89"/>
      <c r="BB92" s="89"/>
      <c r="BC92" s="89"/>
      <c r="BD92" s="89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1"/>
      <c r="BV92" s="89"/>
      <c r="BW92" s="89"/>
      <c r="BX92" s="89"/>
      <c r="BY92" s="89"/>
      <c r="BZ92" s="89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1"/>
      <c r="CR92" s="89"/>
      <c r="CS92" s="89"/>
      <c r="CT92" s="89"/>
      <c r="CU92" s="89"/>
      <c r="CV92" s="89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N92" s="33">
        <f t="shared" si="89"/>
        <v>0</v>
      </c>
      <c r="DO92" s="33">
        <f t="shared" si="90"/>
        <v>0</v>
      </c>
      <c r="DP92" s="33">
        <f t="shared" si="91"/>
        <v>0</v>
      </c>
    </row>
    <row r="93" spans="1:120" s="50" customFormat="1" ht="18" customHeight="1" x14ac:dyDescent="0.25">
      <c r="A93" s="246" t="s">
        <v>255</v>
      </c>
      <c r="B93" s="229" t="s">
        <v>256</v>
      </c>
      <c r="C93" s="75" t="s">
        <v>257</v>
      </c>
      <c r="D93" s="24" t="s">
        <v>258</v>
      </c>
      <c r="E93" s="25">
        <v>301</v>
      </c>
      <c r="F93" s="26" t="s">
        <v>259</v>
      </c>
      <c r="G93" s="27">
        <f t="shared" ref="G93:G107" si="110">SUM(H93:AA93)</f>
        <v>85000000</v>
      </c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>
        <v>85000000</v>
      </c>
      <c r="X93" s="27"/>
      <c r="Y93" s="27"/>
      <c r="Z93" s="27"/>
      <c r="AA93" s="27"/>
      <c r="AC93" s="29">
        <f t="shared" ref="AC93:AC128" si="111">+AD93/G93</f>
        <v>0.33628235294117648</v>
      </c>
      <c r="AD93" s="27">
        <f t="shared" ref="AD93:AD107" si="112">SUM(AE93:AX93)</f>
        <v>28584000</v>
      </c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>
        <f>+'[1]JUNIO 2016'!$Z$449</f>
        <v>28584000</v>
      </c>
      <c r="AU93" s="27"/>
      <c r="AV93" s="27"/>
      <c r="AW93" s="27"/>
      <c r="AX93" s="27"/>
      <c r="AY93" s="29">
        <f t="shared" ref="AY93:AY128" si="113">1-AC93</f>
        <v>0.66371764705882352</v>
      </c>
      <c r="AZ93" s="27">
        <f t="shared" ref="AZ93:AZ107" si="114">SUM(BA93:BT93)</f>
        <v>56416000</v>
      </c>
      <c r="BA93" s="27">
        <f t="shared" ref="BA93:BA107" si="115">+H93</f>
        <v>0</v>
      </c>
      <c r="BB93" s="27">
        <f t="shared" ref="BB93:BP107" si="116">I93-AF93</f>
        <v>0</v>
      </c>
      <c r="BC93" s="27">
        <f t="shared" si="116"/>
        <v>0</v>
      </c>
      <c r="BD93" s="27">
        <f t="shared" si="116"/>
        <v>0</v>
      </c>
      <c r="BE93" s="27">
        <f t="shared" ref="BE93:BP99" si="117">+L93-AI93</f>
        <v>0</v>
      </c>
      <c r="BF93" s="27">
        <f t="shared" si="117"/>
        <v>0</v>
      </c>
      <c r="BG93" s="27">
        <f t="shared" si="117"/>
        <v>0</v>
      </c>
      <c r="BH93" s="27">
        <f t="shared" si="117"/>
        <v>0</v>
      </c>
      <c r="BI93" s="27">
        <f t="shared" si="117"/>
        <v>0</v>
      </c>
      <c r="BJ93" s="27">
        <f t="shared" si="117"/>
        <v>0</v>
      </c>
      <c r="BK93" s="27">
        <f t="shared" si="117"/>
        <v>0</v>
      </c>
      <c r="BL93" s="27">
        <f t="shared" si="117"/>
        <v>0</v>
      </c>
      <c r="BM93" s="27">
        <f t="shared" si="117"/>
        <v>0</v>
      </c>
      <c r="BN93" s="27">
        <f t="shared" si="117"/>
        <v>0</v>
      </c>
      <c r="BO93" s="27">
        <f t="shared" si="117"/>
        <v>0</v>
      </c>
      <c r="BP93" s="27">
        <f t="shared" si="117"/>
        <v>56416000</v>
      </c>
      <c r="BQ93" s="27"/>
      <c r="BR93" s="27"/>
      <c r="BS93" s="27">
        <f t="shared" ref="BS93:BS107" si="118">Z93-AW93</f>
        <v>0</v>
      </c>
      <c r="BT93" s="27">
        <f t="shared" ref="BT93:BT99" si="119">+AA93-AX93</f>
        <v>0</v>
      </c>
      <c r="BU93" s="29">
        <f t="shared" ref="BU93:BU128" si="120">+BV93/G93</f>
        <v>0.24247237647058822</v>
      </c>
      <c r="BV93" s="27">
        <f t="shared" ref="BV93:BV107" si="121">SUM(BW93:CP93)</f>
        <v>20610152</v>
      </c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>
        <f>+'[1]JUNIO 2016'!$H$447</f>
        <v>20610152</v>
      </c>
      <c r="CM93" s="27"/>
      <c r="CN93" s="27"/>
      <c r="CO93" s="27"/>
      <c r="CP93" s="27"/>
      <c r="CQ93" s="29">
        <f t="shared" ref="CQ93:CQ128" si="122">1-BU93</f>
        <v>0.75752762352941172</v>
      </c>
      <c r="CR93" s="27">
        <f t="shared" ref="CR93:CR107" si="123">SUM(CS93:DL93)</f>
        <v>64389848</v>
      </c>
      <c r="CS93" s="27">
        <f t="shared" ref="CS93:DB107" si="124">H93-BW93</f>
        <v>0</v>
      </c>
      <c r="CT93" s="27">
        <f t="shared" si="124"/>
        <v>0</v>
      </c>
      <c r="CU93" s="27">
        <f t="shared" si="124"/>
        <v>0</v>
      </c>
      <c r="CV93" s="27">
        <f t="shared" si="124"/>
        <v>0</v>
      </c>
      <c r="CW93" s="27">
        <f t="shared" si="124"/>
        <v>0</v>
      </c>
      <c r="CX93" s="27">
        <f t="shared" si="124"/>
        <v>0</v>
      </c>
      <c r="CY93" s="27">
        <f t="shared" si="124"/>
        <v>0</v>
      </c>
      <c r="CZ93" s="27">
        <f t="shared" ref="CZ93:DB98" si="125">+O93-CD93</f>
        <v>0</v>
      </c>
      <c r="DA93" s="27">
        <f t="shared" si="125"/>
        <v>0</v>
      </c>
      <c r="DB93" s="27">
        <f t="shared" si="125"/>
        <v>0</v>
      </c>
      <c r="DC93" s="27">
        <f t="shared" ref="DC93:DE107" si="126">R93-CG93</f>
        <v>0</v>
      </c>
      <c r="DD93" s="27">
        <f t="shared" si="126"/>
        <v>0</v>
      </c>
      <c r="DE93" s="27">
        <f t="shared" si="126"/>
        <v>0</v>
      </c>
      <c r="DF93" s="27">
        <f t="shared" ref="DF93:DH99" si="127">+U93-CJ93</f>
        <v>0</v>
      </c>
      <c r="DG93" s="27">
        <f t="shared" si="127"/>
        <v>0</v>
      </c>
      <c r="DH93" s="27">
        <f t="shared" si="127"/>
        <v>64389848</v>
      </c>
      <c r="DI93" s="27"/>
      <c r="DJ93" s="27">
        <f t="shared" ref="DJ93:DL99" si="128">+Y93-CN93</f>
        <v>0</v>
      </c>
      <c r="DK93" s="27">
        <f t="shared" si="128"/>
        <v>0</v>
      </c>
      <c r="DL93" s="27">
        <f t="shared" si="128"/>
        <v>0</v>
      </c>
      <c r="DN93" s="33">
        <f t="shared" si="89"/>
        <v>85000000</v>
      </c>
      <c r="DO93" s="33">
        <f t="shared" si="90"/>
        <v>85000000</v>
      </c>
      <c r="DP93" s="33">
        <f t="shared" si="91"/>
        <v>85000000</v>
      </c>
    </row>
    <row r="94" spans="1:120" s="50" customFormat="1" ht="22.5" customHeight="1" x14ac:dyDescent="0.25">
      <c r="A94" s="246"/>
      <c r="B94" s="230"/>
      <c r="C94" s="75" t="s">
        <v>260</v>
      </c>
      <c r="D94" s="24" t="s">
        <v>261</v>
      </c>
      <c r="E94" s="25">
        <v>301</v>
      </c>
      <c r="F94" s="26" t="s">
        <v>259</v>
      </c>
      <c r="G94" s="27">
        <f t="shared" si="110"/>
        <v>55000000</v>
      </c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>
        <v>55000000</v>
      </c>
      <c r="X94" s="27"/>
      <c r="Y94" s="27"/>
      <c r="Z94" s="27"/>
      <c r="AA94" s="27"/>
      <c r="AC94" s="29">
        <f t="shared" si="111"/>
        <v>1</v>
      </c>
      <c r="AD94" s="27">
        <f t="shared" si="112"/>
        <v>55000000</v>
      </c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>
        <f>+'[1]JUNIO 2016'!$Z$461</f>
        <v>55000000</v>
      </c>
      <c r="AU94" s="27"/>
      <c r="AV94" s="27"/>
      <c r="AW94" s="27"/>
      <c r="AX94" s="27"/>
      <c r="AY94" s="29">
        <f t="shared" si="113"/>
        <v>0</v>
      </c>
      <c r="AZ94" s="27">
        <f t="shared" si="114"/>
        <v>0</v>
      </c>
      <c r="BA94" s="27">
        <f t="shared" si="115"/>
        <v>0</v>
      </c>
      <c r="BB94" s="27">
        <f t="shared" si="116"/>
        <v>0</v>
      </c>
      <c r="BC94" s="27">
        <f t="shared" si="116"/>
        <v>0</v>
      </c>
      <c r="BD94" s="27">
        <f t="shared" si="116"/>
        <v>0</v>
      </c>
      <c r="BE94" s="27">
        <f t="shared" si="117"/>
        <v>0</v>
      </c>
      <c r="BF94" s="27">
        <f t="shared" si="117"/>
        <v>0</v>
      </c>
      <c r="BG94" s="27">
        <f t="shared" si="117"/>
        <v>0</v>
      </c>
      <c r="BH94" s="27">
        <f t="shared" si="117"/>
        <v>0</v>
      </c>
      <c r="BI94" s="27">
        <f t="shared" si="117"/>
        <v>0</v>
      </c>
      <c r="BJ94" s="27">
        <f t="shared" si="117"/>
        <v>0</v>
      </c>
      <c r="BK94" s="27">
        <f t="shared" si="117"/>
        <v>0</v>
      </c>
      <c r="BL94" s="27">
        <f t="shared" si="117"/>
        <v>0</v>
      </c>
      <c r="BM94" s="27">
        <f t="shared" si="117"/>
        <v>0</v>
      </c>
      <c r="BN94" s="27">
        <f t="shared" si="117"/>
        <v>0</v>
      </c>
      <c r="BO94" s="27">
        <f t="shared" si="117"/>
        <v>0</v>
      </c>
      <c r="BP94" s="27">
        <f t="shared" si="117"/>
        <v>0</v>
      </c>
      <c r="BQ94" s="27"/>
      <c r="BR94" s="27"/>
      <c r="BS94" s="27">
        <f t="shared" si="118"/>
        <v>0</v>
      </c>
      <c r="BT94" s="27">
        <f t="shared" si="119"/>
        <v>0</v>
      </c>
      <c r="BU94" s="29">
        <f t="shared" si="120"/>
        <v>0.3922834</v>
      </c>
      <c r="BV94" s="27">
        <f t="shared" si="121"/>
        <v>21575587</v>
      </c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>
        <f>+'[3]MAYO 2016'!$H$383</f>
        <v>21575587</v>
      </c>
      <c r="CM94" s="27"/>
      <c r="CN94" s="27"/>
      <c r="CO94" s="27"/>
      <c r="CP94" s="27"/>
      <c r="CQ94" s="29">
        <f t="shared" si="122"/>
        <v>0.60771660000000005</v>
      </c>
      <c r="CR94" s="27">
        <f t="shared" si="123"/>
        <v>33424413</v>
      </c>
      <c r="CS94" s="27">
        <f t="shared" si="124"/>
        <v>0</v>
      </c>
      <c r="CT94" s="27">
        <f t="shared" si="124"/>
        <v>0</v>
      </c>
      <c r="CU94" s="27">
        <f t="shared" si="124"/>
        <v>0</v>
      </c>
      <c r="CV94" s="27">
        <f t="shared" si="124"/>
        <v>0</v>
      </c>
      <c r="CW94" s="27">
        <f t="shared" si="124"/>
        <v>0</v>
      </c>
      <c r="CX94" s="27">
        <f t="shared" si="124"/>
        <v>0</v>
      </c>
      <c r="CY94" s="27">
        <f t="shared" si="124"/>
        <v>0</v>
      </c>
      <c r="CZ94" s="27">
        <f t="shared" si="125"/>
        <v>0</v>
      </c>
      <c r="DA94" s="27">
        <f t="shared" si="125"/>
        <v>0</v>
      </c>
      <c r="DB94" s="27">
        <f t="shared" si="125"/>
        <v>0</v>
      </c>
      <c r="DC94" s="27">
        <f t="shared" si="126"/>
        <v>0</v>
      </c>
      <c r="DD94" s="27">
        <f t="shared" si="126"/>
        <v>0</v>
      </c>
      <c r="DE94" s="27">
        <f t="shared" si="126"/>
        <v>0</v>
      </c>
      <c r="DF94" s="27">
        <f t="shared" si="127"/>
        <v>0</v>
      </c>
      <c r="DG94" s="27">
        <f t="shared" si="127"/>
        <v>0</v>
      </c>
      <c r="DH94" s="27">
        <f t="shared" si="127"/>
        <v>33424413</v>
      </c>
      <c r="DI94" s="27"/>
      <c r="DJ94" s="27">
        <f t="shared" si="128"/>
        <v>0</v>
      </c>
      <c r="DK94" s="27">
        <f t="shared" si="128"/>
        <v>0</v>
      </c>
      <c r="DL94" s="27">
        <f t="shared" si="128"/>
        <v>0</v>
      </c>
      <c r="DN94" s="33">
        <f t="shared" si="89"/>
        <v>55000000</v>
      </c>
      <c r="DO94" s="33">
        <f t="shared" si="90"/>
        <v>55000000</v>
      </c>
      <c r="DP94" s="33">
        <f t="shared" si="91"/>
        <v>55000000</v>
      </c>
    </row>
    <row r="95" spans="1:120" s="50" customFormat="1" x14ac:dyDescent="0.25">
      <c r="A95" s="246"/>
      <c r="B95" s="230"/>
      <c r="C95" s="75" t="s">
        <v>262</v>
      </c>
      <c r="D95" s="24" t="s">
        <v>263</v>
      </c>
      <c r="E95" s="25">
        <v>301</v>
      </c>
      <c r="F95" s="26" t="s">
        <v>259</v>
      </c>
      <c r="G95" s="27">
        <f t="shared" si="110"/>
        <v>30000000</v>
      </c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>
        <v>30000000</v>
      </c>
      <c r="X95" s="27"/>
      <c r="Y95" s="27"/>
      <c r="Z95" s="27"/>
      <c r="AA95" s="27"/>
      <c r="AC95" s="29">
        <f t="shared" si="111"/>
        <v>0.64794119999999999</v>
      </c>
      <c r="AD95" s="27">
        <f t="shared" si="112"/>
        <v>19438236</v>
      </c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>
        <f>+'[3]MAYO 2016'!$Z$398</f>
        <v>19438236</v>
      </c>
      <c r="AU95" s="27"/>
      <c r="AV95" s="27"/>
      <c r="AW95" s="27"/>
      <c r="AX95" s="27"/>
      <c r="AY95" s="29">
        <f t="shared" si="113"/>
        <v>0.35205880000000001</v>
      </c>
      <c r="AZ95" s="27">
        <f t="shared" si="114"/>
        <v>10561764</v>
      </c>
      <c r="BA95" s="27">
        <f t="shared" si="115"/>
        <v>0</v>
      </c>
      <c r="BB95" s="27">
        <f t="shared" si="116"/>
        <v>0</v>
      </c>
      <c r="BC95" s="27">
        <f t="shared" si="116"/>
        <v>0</v>
      </c>
      <c r="BD95" s="27">
        <f t="shared" si="116"/>
        <v>0</v>
      </c>
      <c r="BE95" s="27">
        <f t="shared" si="117"/>
        <v>0</v>
      </c>
      <c r="BF95" s="27">
        <f t="shared" si="117"/>
        <v>0</v>
      </c>
      <c r="BG95" s="27">
        <f t="shared" si="117"/>
        <v>0</v>
      </c>
      <c r="BH95" s="27">
        <f t="shared" si="117"/>
        <v>0</v>
      </c>
      <c r="BI95" s="27">
        <f t="shared" si="117"/>
        <v>0</v>
      </c>
      <c r="BJ95" s="27">
        <f t="shared" si="117"/>
        <v>0</v>
      </c>
      <c r="BK95" s="27">
        <f t="shared" si="117"/>
        <v>0</v>
      </c>
      <c r="BL95" s="27">
        <f t="shared" si="117"/>
        <v>0</v>
      </c>
      <c r="BM95" s="27">
        <f t="shared" si="117"/>
        <v>0</v>
      </c>
      <c r="BN95" s="27">
        <f t="shared" si="117"/>
        <v>0</v>
      </c>
      <c r="BO95" s="27">
        <f t="shared" si="117"/>
        <v>0</v>
      </c>
      <c r="BP95" s="27">
        <f t="shared" si="117"/>
        <v>10561764</v>
      </c>
      <c r="BQ95" s="27"/>
      <c r="BR95" s="27"/>
      <c r="BS95" s="27">
        <f t="shared" si="118"/>
        <v>0</v>
      </c>
      <c r="BT95" s="27">
        <f t="shared" si="119"/>
        <v>0</v>
      </c>
      <c r="BU95" s="29">
        <f t="shared" si="120"/>
        <v>0.64351369999999997</v>
      </c>
      <c r="BV95" s="27">
        <f t="shared" si="121"/>
        <v>19305411</v>
      </c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>
        <f>+'[3]MAYO 2016'!$H$396</f>
        <v>19305411</v>
      </c>
      <c r="CM95" s="27"/>
      <c r="CN95" s="27"/>
      <c r="CO95" s="27"/>
      <c r="CP95" s="27"/>
      <c r="CQ95" s="29">
        <f t="shared" si="122"/>
        <v>0.35648630000000003</v>
      </c>
      <c r="CR95" s="27">
        <f t="shared" si="123"/>
        <v>10694589</v>
      </c>
      <c r="CS95" s="27">
        <f t="shared" si="124"/>
        <v>0</v>
      </c>
      <c r="CT95" s="27">
        <f t="shared" si="124"/>
        <v>0</v>
      </c>
      <c r="CU95" s="27">
        <f t="shared" si="124"/>
        <v>0</v>
      </c>
      <c r="CV95" s="27">
        <f t="shared" si="124"/>
        <v>0</v>
      </c>
      <c r="CW95" s="27">
        <f t="shared" si="124"/>
        <v>0</v>
      </c>
      <c r="CX95" s="27">
        <f t="shared" si="124"/>
        <v>0</v>
      </c>
      <c r="CY95" s="27">
        <f t="shared" si="124"/>
        <v>0</v>
      </c>
      <c r="CZ95" s="27">
        <f t="shared" si="125"/>
        <v>0</v>
      </c>
      <c r="DA95" s="27">
        <f t="shared" si="125"/>
        <v>0</v>
      </c>
      <c r="DB95" s="27">
        <f t="shared" si="125"/>
        <v>0</v>
      </c>
      <c r="DC95" s="27">
        <f t="shared" si="126"/>
        <v>0</v>
      </c>
      <c r="DD95" s="27">
        <f t="shared" si="126"/>
        <v>0</v>
      </c>
      <c r="DE95" s="27">
        <f t="shared" si="126"/>
        <v>0</v>
      </c>
      <c r="DF95" s="27">
        <f t="shared" si="127"/>
        <v>0</v>
      </c>
      <c r="DG95" s="27">
        <f t="shared" si="127"/>
        <v>0</v>
      </c>
      <c r="DH95" s="27">
        <f t="shared" si="127"/>
        <v>10694589</v>
      </c>
      <c r="DI95" s="27"/>
      <c r="DJ95" s="27">
        <f t="shared" si="128"/>
        <v>0</v>
      </c>
      <c r="DK95" s="27">
        <f t="shared" si="128"/>
        <v>0</v>
      </c>
      <c r="DL95" s="27">
        <f t="shared" si="128"/>
        <v>0</v>
      </c>
      <c r="DN95" s="33">
        <f t="shared" si="89"/>
        <v>30000000</v>
      </c>
      <c r="DO95" s="33">
        <f t="shared" si="90"/>
        <v>30000000</v>
      </c>
      <c r="DP95" s="33">
        <f t="shared" si="91"/>
        <v>30000000</v>
      </c>
    </row>
    <row r="96" spans="1:120" ht="30" x14ac:dyDescent="0.25">
      <c r="A96" s="246"/>
      <c r="B96" s="230"/>
      <c r="C96" s="75" t="s">
        <v>264</v>
      </c>
      <c r="D96" s="24" t="s">
        <v>265</v>
      </c>
      <c r="E96" s="25">
        <v>301</v>
      </c>
      <c r="F96" s="26" t="s">
        <v>266</v>
      </c>
      <c r="G96" s="27">
        <f t="shared" si="110"/>
        <v>51000000</v>
      </c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>
        <v>25000000</v>
      </c>
      <c r="X96" s="27"/>
      <c r="Y96" s="27"/>
      <c r="Z96" s="27"/>
      <c r="AA96" s="27">
        <f>25000000+1000000</f>
        <v>26000000</v>
      </c>
      <c r="AC96" s="29">
        <f t="shared" si="111"/>
        <v>0.28146788235294118</v>
      </c>
      <c r="AD96" s="27">
        <f>SUM(AE96:AX96)</f>
        <v>14354862</v>
      </c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>
        <f>+'[1]JUNIO 2016'!$Z$484</f>
        <v>2000000</v>
      </c>
      <c r="AU96" s="27"/>
      <c r="AV96" s="27"/>
      <c r="AW96" s="27"/>
      <c r="AX96" s="27">
        <f>+'[1]JUNIO 2016'!$AG$484</f>
        <v>12354862</v>
      </c>
      <c r="AY96" s="29">
        <f t="shared" si="113"/>
        <v>0.71853211764705882</v>
      </c>
      <c r="AZ96" s="27">
        <f t="shared" si="114"/>
        <v>36645138</v>
      </c>
      <c r="BA96" s="27">
        <f t="shared" si="115"/>
        <v>0</v>
      </c>
      <c r="BB96" s="27">
        <f t="shared" si="116"/>
        <v>0</v>
      </c>
      <c r="BC96" s="27">
        <f t="shared" si="116"/>
        <v>0</v>
      </c>
      <c r="BD96" s="27">
        <f t="shared" si="116"/>
        <v>0</v>
      </c>
      <c r="BE96" s="27">
        <f t="shared" si="117"/>
        <v>0</v>
      </c>
      <c r="BF96" s="27">
        <f t="shared" si="117"/>
        <v>0</v>
      </c>
      <c r="BG96" s="27">
        <f t="shared" si="117"/>
        <v>0</v>
      </c>
      <c r="BH96" s="27">
        <f t="shared" si="117"/>
        <v>0</v>
      </c>
      <c r="BI96" s="27">
        <f t="shared" si="117"/>
        <v>0</v>
      </c>
      <c r="BJ96" s="27">
        <f t="shared" si="117"/>
        <v>0</v>
      </c>
      <c r="BK96" s="27">
        <f t="shared" si="117"/>
        <v>0</v>
      </c>
      <c r="BL96" s="27">
        <f t="shared" si="117"/>
        <v>0</v>
      </c>
      <c r="BM96" s="27">
        <f t="shared" si="117"/>
        <v>0</v>
      </c>
      <c r="BN96" s="27">
        <f t="shared" si="117"/>
        <v>0</v>
      </c>
      <c r="BO96" s="27">
        <f t="shared" si="117"/>
        <v>0</v>
      </c>
      <c r="BP96" s="27">
        <f t="shared" si="117"/>
        <v>23000000</v>
      </c>
      <c r="BQ96" s="27"/>
      <c r="BR96" s="27"/>
      <c r="BS96" s="27">
        <f t="shared" si="118"/>
        <v>0</v>
      </c>
      <c r="BT96" s="27">
        <f t="shared" si="119"/>
        <v>13645138</v>
      </c>
      <c r="BU96" s="29">
        <f t="shared" si="120"/>
        <v>0.26625219607843137</v>
      </c>
      <c r="BV96" s="27">
        <f t="shared" si="121"/>
        <v>13578862</v>
      </c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>
        <v>2000000</v>
      </c>
      <c r="CM96" s="27"/>
      <c r="CN96" s="27"/>
      <c r="CO96" s="27"/>
      <c r="CP96" s="27">
        <f>+'[1]JUNIO 2016'!$H$482-CL96</f>
        <v>11578862</v>
      </c>
      <c r="CQ96" s="29">
        <f t="shared" si="122"/>
        <v>0.73374780392156858</v>
      </c>
      <c r="CR96" s="27">
        <f t="shared" si="123"/>
        <v>37421138</v>
      </c>
      <c r="CS96" s="27">
        <f t="shared" si="124"/>
        <v>0</v>
      </c>
      <c r="CT96" s="27">
        <f t="shared" si="124"/>
        <v>0</v>
      </c>
      <c r="CU96" s="27">
        <f t="shared" si="124"/>
        <v>0</v>
      </c>
      <c r="CV96" s="27">
        <f t="shared" si="124"/>
        <v>0</v>
      </c>
      <c r="CW96" s="27">
        <f t="shared" si="124"/>
        <v>0</v>
      </c>
      <c r="CX96" s="27">
        <f t="shared" si="124"/>
        <v>0</v>
      </c>
      <c r="CY96" s="27">
        <f t="shared" si="124"/>
        <v>0</v>
      </c>
      <c r="CZ96" s="27">
        <f t="shared" si="125"/>
        <v>0</v>
      </c>
      <c r="DA96" s="27">
        <f t="shared" si="125"/>
        <v>0</v>
      </c>
      <c r="DB96" s="27">
        <f t="shared" si="125"/>
        <v>0</v>
      </c>
      <c r="DC96" s="27">
        <f t="shared" si="126"/>
        <v>0</v>
      </c>
      <c r="DD96" s="27">
        <f t="shared" si="126"/>
        <v>0</v>
      </c>
      <c r="DE96" s="27">
        <f t="shared" si="126"/>
        <v>0</v>
      </c>
      <c r="DF96" s="27">
        <f t="shared" si="127"/>
        <v>0</v>
      </c>
      <c r="DG96" s="27">
        <f t="shared" si="127"/>
        <v>0</v>
      </c>
      <c r="DH96" s="27">
        <f t="shared" si="127"/>
        <v>23000000</v>
      </c>
      <c r="DI96" s="27"/>
      <c r="DJ96" s="27">
        <f t="shared" si="128"/>
        <v>0</v>
      </c>
      <c r="DK96" s="27">
        <f t="shared" si="128"/>
        <v>0</v>
      </c>
      <c r="DL96" s="27">
        <f t="shared" si="128"/>
        <v>14421138</v>
      </c>
      <c r="DN96" s="33">
        <f t="shared" si="89"/>
        <v>51000000</v>
      </c>
      <c r="DO96" s="33">
        <f t="shared" si="90"/>
        <v>51000000</v>
      </c>
      <c r="DP96" s="33">
        <f t="shared" si="91"/>
        <v>51000000</v>
      </c>
    </row>
    <row r="97" spans="1:120" x14ac:dyDescent="0.25">
      <c r="A97" s="246"/>
      <c r="B97" s="230"/>
      <c r="C97" s="75" t="s">
        <v>267</v>
      </c>
      <c r="D97" s="24" t="s">
        <v>268</v>
      </c>
      <c r="E97" s="25">
        <v>301</v>
      </c>
      <c r="F97" s="26" t="s">
        <v>259</v>
      </c>
      <c r="G97" s="27">
        <f t="shared" si="110"/>
        <v>34000000</v>
      </c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>
        <v>34000000</v>
      </c>
      <c r="X97" s="27"/>
      <c r="Y97" s="27"/>
      <c r="Z97" s="27"/>
      <c r="AA97" s="27"/>
      <c r="AC97" s="29">
        <f t="shared" si="111"/>
        <v>0.99863861764705886</v>
      </c>
      <c r="AD97" s="27">
        <f t="shared" si="112"/>
        <v>33953713</v>
      </c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>
        <f>+'[4]ABRIL 2016'!$Z$347</f>
        <v>33953713</v>
      </c>
      <c r="AU97" s="27"/>
      <c r="AV97" s="27"/>
      <c r="AW97" s="27"/>
      <c r="AX97" s="27"/>
      <c r="AY97" s="29">
        <f t="shared" si="113"/>
        <v>1.3613823529411428E-3</v>
      </c>
      <c r="AZ97" s="27">
        <f t="shared" si="114"/>
        <v>46287</v>
      </c>
      <c r="BA97" s="27">
        <f t="shared" si="115"/>
        <v>0</v>
      </c>
      <c r="BB97" s="27">
        <f t="shared" si="116"/>
        <v>0</v>
      </c>
      <c r="BC97" s="27">
        <f t="shared" si="116"/>
        <v>0</v>
      </c>
      <c r="BD97" s="27">
        <f t="shared" si="116"/>
        <v>0</v>
      </c>
      <c r="BE97" s="27">
        <f t="shared" si="117"/>
        <v>0</v>
      </c>
      <c r="BF97" s="27">
        <f t="shared" si="117"/>
        <v>0</v>
      </c>
      <c r="BG97" s="27">
        <f t="shared" si="117"/>
        <v>0</v>
      </c>
      <c r="BH97" s="27">
        <f t="shared" si="117"/>
        <v>0</v>
      </c>
      <c r="BI97" s="27">
        <f t="shared" si="117"/>
        <v>0</v>
      </c>
      <c r="BJ97" s="27">
        <f t="shared" si="117"/>
        <v>0</v>
      </c>
      <c r="BK97" s="27">
        <f t="shared" si="117"/>
        <v>0</v>
      </c>
      <c r="BL97" s="27">
        <f t="shared" si="117"/>
        <v>0</v>
      </c>
      <c r="BM97" s="27">
        <f t="shared" si="117"/>
        <v>0</v>
      </c>
      <c r="BN97" s="27">
        <f t="shared" si="117"/>
        <v>0</v>
      </c>
      <c r="BO97" s="27">
        <f t="shared" si="117"/>
        <v>0</v>
      </c>
      <c r="BP97" s="27">
        <f t="shared" si="117"/>
        <v>46287</v>
      </c>
      <c r="BQ97" s="27"/>
      <c r="BR97" s="27"/>
      <c r="BS97" s="27">
        <f t="shared" si="118"/>
        <v>0</v>
      </c>
      <c r="BT97" s="27">
        <f t="shared" si="119"/>
        <v>0</v>
      </c>
      <c r="BU97" s="29">
        <f t="shared" si="120"/>
        <v>0.99650888235294122</v>
      </c>
      <c r="BV97" s="27">
        <f t="shared" si="121"/>
        <v>33881302</v>
      </c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>
        <f>+'[3]MAYO 2016'!$H$416</f>
        <v>33881302</v>
      </c>
      <c r="CM97" s="27"/>
      <c r="CN97" s="27"/>
      <c r="CO97" s="27"/>
      <c r="CP97" s="27"/>
      <c r="CQ97" s="29">
        <f t="shared" si="122"/>
        <v>3.4911176470587835E-3</v>
      </c>
      <c r="CR97" s="27">
        <f t="shared" si="123"/>
        <v>118698</v>
      </c>
      <c r="CS97" s="27">
        <f t="shared" si="124"/>
        <v>0</v>
      </c>
      <c r="CT97" s="27">
        <f t="shared" si="124"/>
        <v>0</v>
      </c>
      <c r="CU97" s="27">
        <f t="shared" si="124"/>
        <v>0</v>
      </c>
      <c r="CV97" s="27">
        <f t="shared" si="124"/>
        <v>0</v>
      </c>
      <c r="CW97" s="27">
        <f t="shared" si="124"/>
        <v>0</v>
      </c>
      <c r="CX97" s="27">
        <f t="shared" si="124"/>
        <v>0</v>
      </c>
      <c r="CY97" s="27">
        <f t="shared" si="124"/>
        <v>0</v>
      </c>
      <c r="CZ97" s="27">
        <f t="shared" si="125"/>
        <v>0</v>
      </c>
      <c r="DA97" s="27">
        <f t="shared" si="125"/>
        <v>0</v>
      </c>
      <c r="DB97" s="27">
        <f t="shared" si="125"/>
        <v>0</v>
      </c>
      <c r="DC97" s="27">
        <f t="shared" si="126"/>
        <v>0</v>
      </c>
      <c r="DD97" s="27">
        <f t="shared" si="126"/>
        <v>0</v>
      </c>
      <c r="DE97" s="27">
        <f t="shared" si="126"/>
        <v>0</v>
      </c>
      <c r="DF97" s="27">
        <f t="shared" si="127"/>
        <v>0</v>
      </c>
      <c r="DG97" s="27">
        <f t="shared" si="127"/>
        <v>0</v>
      </c>
      <c r="DH97" s="27">
        <f t="shared" si="127"/>
        <v>118698</v>
      </c>
      <c r="DI97" s="27"/>
      <c r="DJ97" s="27">
        <f t="shared" si="128"/>
        <v>0</v>
      </c>
      <c r="DK97" s="27">
        <f t="shared" si="128"/>
        <v>0</v>
      </c>
      <c r="DL97" s="27">
        <f t="shared" si="128"/>
        <v>0</v>
      </c>
      <c r="DN97" s="33">
        <f t="shared" si="89"/>
        <v>34000000</v>
      </c>
      <c r="DO97" s="33">
        <f t="shared" si="90"/>
        <v>34000000</v>
      </c>
      <c r="DP97" s="33">
        <f t="shared" si="91"/>
        <v>34000000</v>
      </c>
    </row>
    <row r="98" spans="1:120" ht="15" customHeight="1" x14ac:dyDescent="0.25">
      <c r="A98" s="246"/>
      <c r="B98" s="230"/>
      <c r="C98" s="75" t="s">
        <v>269</v>
      </c>
      <c r="D98" s="24" t="s">
        <v>270</v>
      </c>
      <c r="E98" s="25">
        <v>301</v>
      </c>
      <c r="F98" s="26" t="s">
        <v>182</v>
      </c>
      <c r="G98" s="27">
        <f t="shared" si="110"/>
        <v>60000000</v>
      </c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>
        <v>60000000</v>
      </c>
      <c r="X98" s="27"/>
      <c r="Y98" s="27"/>
      <c r="Z98" s="27"/>
      <c r="AA98" s="27"/>
      <c r="AC98" s="29">
        <f t="shared" si="111"/>
        <v>1</v>
      </c>
      <c r="AD98" s="27">
        <f t="shared" si="112"/>
        <v>60000000</v>
      </c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>
        <f>+'[5]ENERO 2016'!$Z$180</f>
        <v>60000000</v>
      </c>
      <c r="AU98" s="27"/>
      <c r="AV98" s="27"/>
      <c r="AW98" s="27"/>
      <c r="AX98" s="27"/>
      <c r="AY98" s="29">
        <f t="shared" si="113"/>
        <v>0</v>
      </c>
      <c r="AZ98" s="27">
        <f t="shared" si="114"/>
        <v>0</v>
      </c>
      <c r="BA98" s="27">
        <f t="shared" si="115"/>
        <v>0</v>
      </c>
      <c r="BB98" s="27">
        <f t="shared" si="116"/>
        <v>0</v>
      </c>
      <c r="BC98" s="27">
        <f t="shared" si="116"/>
        <v>0</v>
      </c>
      <c r="BD98" s="27">
        <f t="shared" si="116"/>
        <v>0</v>
      </c>
      <c r="BE98" s="27">
        <f t="shared" si="117"/>
        <v>0</v>
      </c>
      <c r="BF98" s="27">
        <f t="shared" si="117"/>
        <v>0</v>
      </c>
      <c r="BG98" s="27">
        <f t="shared" si="117"/>
        <v>0</v>
      </c>
      <c r="BH98" s="27">
        <f t="shared" si="117"/>
        <v>0</v>
      </c>
      <c r="BI98" s="27">
        <f t="shared" si="117"/>
        <v>0</v>
      </c>
      <c r="BJ98" s="27">
        <f t="shared" si="117"/>
        <v>0</v>
      </c>
      <c r="BK98" s="27">
        <f t="shared" si="117"/>
        <v>0</v>
      </c>
      <c r="BL98" s="27">
        <f t="shared" si="117"/>
        <v>0</v>
      </c>
      <c r="BM98" s="27">
        <f t="shared" si="117"/>
        <v>0</v>
      </c>
      <c r="BN98" s="27">
        <f t="shared" si="117"/>
        <v>0</v>
      </c>
      <c r="BO98" s="27">
        <f t="shared" si="117"/>
        <v>0</v>
      </c>
      <c r="BP98" s="27">
        <f t="shared" si="117"/>
        <v>0</v>
      </c>
      <c r="BQ98" s="27"/>
      <c r="BR98" s="27"/>
      <c r="BS98" s="27">
        <f t="shared" si="118"/>
        <v>0</v>
      </c>
      <c r="BT98" s="27">
        <f t="shared" si="119"/>
        <v>0</v>
      </c>
      <c r="BU98" s="29">
        <f t="shared" si="120"/>
        <v>0.83254110000000003</v>
      </c>
      <c r="BV98" s="27">
        <f t="shared" si="121"/>
        <v>49952466</v>
      </c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>
        <f>+'[1]JUNIO 2016'!$H$511</f>
        <v>49952466</v>
      </c>
      <c r="CM98" s="27"/>
      <c r="CN98" s="27"/>
      <c r="CO98" s="27"/>
      <c r="CP98" s="27"/>
      <c r="CQ98" s="29">
        <f t="shared" si="122"/>
        <v>0.16745889999999997</v>
      </c>
      <c r="CR98" s="27">
        <f t="shared" si="123"/>
        <v>10047534</v>
      </c>
      <c r="CS98" s="27">
        <f t="shared" si="124"/>
        <v>0</v>
      </c>
      <c r="CT98" s="27">
        <f t="shared" si="124"/>
        <v>0</v>
      </c>
      <c r="CU98" s="27">
        <f t="shared" si="124"/>
        <v>0</v>
      </c>
      <c r="CV98" s="27">
        <f t="shared" si="124"/>
        <v>0</v>
      </c>
      <c r="CW98" s="27">
        <f t="shared" si="124"/>
        <v>0</v>
      </c>
      <c r="CX98" s="27">
        <f t="shared" si="124"/>
        <v>0</v>
      </c>
      <c r="CY98" s="27">
        <f t="shared" si="124"/>
        <v>0</v>
      </c>
      <c r="CZ98" s="27">
        <f t="shared" si="125"/>
        <v>0</v>
      </c>
      <c r="DA98" s="27">
        <f t="shared" si="125"/>
        <v>0</v>
      </c>
      <c r="DB98" s="27">
        <f t="shared" si="125"/>
        <v>0</v>
      </c>
      <c r="DC98" s="27">
        <f t="shared" si="126"/>
        <v>0</v>
      </c>
      <c r="DD98" s="27">
        <f t="shared" si="126"/>
        <v>0</v>
      </c>
      <c r="DE98" s="27">
        <f t="shared" si="126"/>
        <v>0</v>
      </c>
      <c r="DF98" s="27">
        <f t="shared" si="127"/>
        <v>0</v>
      </c>
      <c r="DG98" s="27">
        <f t="shared" si="127"/>
        <v>0</v>
      </c>
      <c r="DH98" s="27">
        <f t="shared" si="127"/>
        <v>10047534</v>
      </c>
      <c r="DI98" s="27"/>
      <c r="DJ98" s="27">
        <f t="shared" si="128"/>
        <v>0</v>
      </c>
      <c r="DK98" s="27">
        <f t="shared" si="128"/>
        <v>0</v>
      </c>
      <c r="DL98" s="27">
        <f t="shared" si="128"/>
        <v>0</v>
      </c>
      <c r="DN98" s="33">
        <f t="shared" si="89"/>
        <v>60000000</v>
      </c>
      <c r="DO98" s="33">
        <f t="shared" si="90"/>
        <v>60000000</v>
      </c>
      <c r="DP98" s="33">
        <f t="shared" si="91"/>
        <v>60000000</v>
      </c>
    </row>
    <row r="99" spans="1:120" ht="21" customHeight="1" x14ac:dyDescent="0.25">
      <c r="A99" s="246"/>
      <c r="B99" s="230"/>
      <c r="C99" s="75" t="s">
        <v>271</v>
      </c>
      <c r="D99" s="24" t="s">
        <v>272</v>
      </c>
      <c r="E99" s="25">
        <v>301</v>
      </c>
      <c r="F99" s="26" t="s">
        <v>273</v>
      </c>
      <c r="G99" s="27">
        <f t="shared" si="110"/>
        <v>20000000</v>
      </c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>
        <v>20000000</v>
      </c>
      <c r="X99" s="27"/>
      <c r="Y99" s="27"/>
      <c r="Z99" s="27"/>
      <c r="AA99" s="27"/>
      <c r="AC99" s="29">
        <f t="shared" si="111"/>
        <v>0</v>
      </c>
      <c r="AD99" s="27">
        <f t="shared" si="112"/>
        <v>0</v>
      </c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9">
        <f t="shared" si="113"/>
        <v>1</v>
      </c>
      <c r="AZ99" s="27">
        <f t="shared" si="114"/>
        <v>20000000</v>
      </c>
      <c r="BA99" s="27">
        <f t="shared" si="115"/>
        <v>0</v>
      </c>
      <c r="BB99" s="27">
        <f t="shared" si="116"/>
        <v>0</v>
      </c>
      <c r="BC99" s="27">
        <f t="shared" si="116"/>
        <v>0</v>
      </c>
      <c r="BD99" s="27">
        <f t="shared" si="116"/>
        <v>0</v>
      </c>
      <c r="BE99" s="27">
        <f t="shared" si="117"/>
        <v>0</v>
      </c>
      <c r="BF99" s="27">
        <f t="shared" si="117"/>
        <v>0</v>
      </c>
      <c r="BG99" s="27">
        <f t="shared" si="117"/>
        <v>0</v>
      </c>
      <c r="BH99" s="27">
        <f t="shared" si="117"/>
        <v>0</v>
      </c>
      <c r="BI99" s="27">
        <f t="shared" si="117"/>
        <v>0</v>
      </c>
      <c r="BJ99" s="27">
        <f t="shared" si="117"/>
        <v>0</v>
      </c>
      <c r="BK99" s="27">
        <f t="shared" si="117"/>
        <v>0</v>
      </c>
      <c r="BL99" s="27">
        <f t="shared" si="117"/>
        <v>0</v>
      </c>
      <c r="BM99" s="27">
        <f t="shared" si="117"/>
        <v>0</v>
      </c>
      <c r="BN99" s="27">
        <f t="shared" si="117"/>
        <v>0</v>
      </c>
      <c r="BO99" s="27">
        <f t="shared" si="117"/>
        <v>0</v>
      </c>
      <c r="BP99" s="27">
        <f t="shared" si="117"/>
        <v>20000000</v>
      </c>
      <c r="BQ99" s="27"/>
      <c r="BR99" s="27"/>
      <c r="BS99" s="27">
        <f t="shared" si="118"/>
        <v>0</v>
      </c>
      <c r="BT99" s="27">
        <f t="shared" si="119"/>
        <v>0</v>
      </c>
      <c r="BU99" s="29">
        <f t="shared" si="120"/>
        <v>0</v>
      </c>
      <c r="BV99" s="27">
        <f t="shared" si="121"/>
        <v>0</v>
      </c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9">
        <f t="shared" si="122"/>
        <v>1</v>
      </c>
      <c r="CR99" s="27">
        <f t="shared" si="123"/>
        <v>20000000</v>
      </c>
      <c r="CS99" s="27">
        <f t="shared" si="124"/>
        <v>0</v>
      </c>
      <c r="CT99" s="27">
        <f t="shared" si="124"/>
        <v>0</v>
      </c>
      <c r="CU99" s="27">
        <f t="shared" si="124"/>
        <v>0</v>
      </c>
      <c r="CV99" s="27">
        <f t="shared" si="124"/>
        <v>0</v>
      </c>
      <c r="CW99" s="27">
        <f t="shared" si="124"/>
        <v>0</v>
      </c>
      <c r="CX99" s="27">
        <f t="shared" si="124"/>
        <v>0</v>
      </c>
      <c r="CY99" s="27">
        <f t="shared" si="124"/>
        <v>0</v>
      </c>
      <c r="CZ99" s="27">
        <f t="shared" si="124"/>
        <v>0</v>
      </c>
      <c r="DA99" s="27">
        <f t="shared" si="124"/>
        <v>0</v>
      </c>
      <c r="DB99" s="27">
        <f t="shared" si="124"/>
        <v>0</v>
      </c>
      <c r="DC99" s="27">
        <f t="shared" si="126"/>
        <v>0</v>
      </c>
      <c r="DD99" s="27">
        <f t="shared" si="126"/>
        <v>0</v>
      </c>
      <c r="DE99" s="27">
        <f t="shared" si="126"/>
        <v>0</v>
      </c>
      <c r="DF99" s="27">
        <f t="shared" si="127"/>
        <v>0</v>
      </c>
      <c r="DG99" s="27">
        <f t="shared" si="127"/>
        <v>0</v>
      </c>
      <c r="DH99" s="27">
        <f t="shared" si="127"/>
        <v>20000000</v>
      </c>
      <c r="DI99" s="27"/>
      <c r="DJ99" s="27">
        <f t="shared" si="128"/>
        <v>0</v>
      </c>
      <c r="DK99" s="27">
        <f t="shared" si="128"/>
        <v>0</v>
      </c>
      <c r="DL99" s="27">
        <f t="shared" si="128"/>
        <v>0</v>
      </c>
      <c r="DN99" s="33">
        <f t="shared" si="89"/>
        <v>20000000</v>
      </c>
      <c r="DO99" s="33">
        <f t="shared" si="90"/>
        <v>20000000</v>
      </c>
      <c r="DP99" s="33">
        <f t="shared" si="91"/>
        <v>20000000</v>
      </c>
    </row>
    <row r="100" spans="1:120" x14ac:dyDescent="0.25">
      <c r="A100" s="246"/>
      <c r="B100" s="231"/>
      <c r="C100" s="75" t="s">
        <v>274</v>
      </c>
      <c r="D100" s="24" t="s">
        <v>275</v>
      </c>
      <c r="E100" s="25">
        <v>301</v>
      </c>
      <c r="F100" s="26" t="s">
        <v>259</v>
      </c>
      <c r="G100" s="27">
        <f t="shared" si="110"/>
        <v>26000000</v>
      </c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>
        <v>26000000</v>
      </c>
      <c r="X100" s="27"/>
      <c r="Y100" s="27"/>
      <c r="Z100" s="27"/>
      <c r="AA100" s="27"/>
      <c r="AC100" s="29">
        <f t="shared" si="111"/>
        <v>1</v>
      </c>
      <c r="AD100" s="27">
        <f t="shared" si="112"/>
        <v>26000000</v>
      </c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>
        <f>+'[5]ENERO 2016'!$Z$190</f>
        <v>26000000</v>
      </c>
      <c r="AU100" s="27"/>
      <c r="AV100" s="27"/>
      <c r="AW100" s="27"/>
      <c r="AX100" s="27"/>
      <c r="AY100" s="29">
        <f t="shared" si="113"/>
        <v>0</v>
      </c>
      <c r="AZ100" s="27">
        <f t="shared" si="114"/>
        <v>0</v>
      </c>
      <c r="BA100" s="27">
        <f t="shared" si="115"/>
        <v>0</v>
      </c>
      <c r="BB100" s="27">
        <f t="shared" si="116"/>
        <v>0</v>
      </c>
      <c r="BC100" s="27">
        <f t="shared" si="116"/>
        <v>0</v>
      </c>
      <c r="BD100" s="27">
        <f t="shared" si="116"/>
        <v>0</v>
      </c>
      <c r="BE100" s="27">
        <f t="shared" si="116"/>
        <v>0</v>
      </c>
      <c r="BF100" s="27">
        <f t="shared" si="116"/>
        <v>0</v>
      </c>
      <c r="BG100" s="27">
        <f t="shared" si="116"/>
        <v>0</v>
      </c>
      <c r="BH100" s="27">
        <f t="shared" si="116"/>
        <v>0</v>
      </c>
      <c r="BI100" s="27">
        <f t="shared" si="116"/>
        <v>0</v>
      </c>
      <c r="BJ100" s="27">
        <f t="shared" si="116"/>
        <v>0</v>
      </c>
      <c r="BK100" s="27">
        <f t="shared" si="116"/>
        <v>0</v>
      </c>
      <c r="BL100" s="27">
        <f t="shared" si="116"/>
        <v>0</v>
      </c>
      <c r="BM100" s="27">
        <f t="shared" si="116"/>
        <v>0</v>
      </c>
      <c r="BN100" s="27">
        <f t="shared" si="116"/>
        <v>0</v>
      </c>
      <c r="BO100" s="27">
        <f t="shared" si="116"/>
        <v>0</v>
      </c>
      <c r="BP100" s="27">
        <f t="shared" si="116"/>
        <v>0</v>
      </c>
      <c r="BQ100" s="27"/>
      <c r="BR100" s="27">
        <f>Y100-AV100</f>
        <v>0</v>
      </c>
      <c r="BS100" s="27">
        <f t="shared" si="118"/>
        <v>0</v>
      </c>
      <c r="BT100" s="27">
        <f>AA100-AX100</f>
        <v>0</v>
      </c>
      <c r="BU100" s="29">
        <f t="shared" si="120"/>
        <v>0.42299038461538463</v>
      </c>
      <c r="BV100" s="27">
        <f t="shared" si="121"/>
        <v>10997750</v>
      </c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>
        <f>+'[1]JUNIO 2016'!$H$539</f>
        <v>10997750</v>
      </c>
      <c r="CM100" s="27"/>
      <c r="CN100" s="27"/>
      <c r="CO100" s="27"/>
      <c r="CP100" s="27"/>
      <c r="CQ100" s="29">
        <f t="shared" si="122"/>
        <v>0.57700961538461537</v>
      </c>
      <c r="CR100" s="27">
        <f t="shared" si="123"/>
        <v>15002250</v>
      </c>
      <c r="CS100" s="27">
        <f t="shared" si="124"/>
        <v>0</v>
      </c>
      <c r="CT100" s="27">
        <f t="shared" si="124"/>
        <v>0</v>
      </c>
      <c r="CU100" s="27">
        <f t="shared" si="124"/>
        <v>0</v>
      </c>
      <c r="CV100" s="27">
        <f t="shared" si="124"/>
        <v>0</v>
      </c>
      <c r="CW100" s="27">
        <f t="shared" si="124"/>
        <v>0</v>
      </c>
      <c r="CX100" s="27">
        <f t="shared" si="124"/>
        <v>0</v>
      </c>
      <c r="CY100" s="27">
        <f t="shared" si="124"/>
        <v>0</v>
      </c>
      <c r="CZ100" s="27">
        <f t="shared" si="124"/>
        <v>0</v>
      </c>
      <c r="DA100" s="27">
        <f t="shared" si="124"/>
        <v>0</v>
      </c>
      <c r="DB100" s="27">
        <f t="shared" si="124"/>
        <v>0</v>
      </c>
      <c r="DC100" s="27">
        <f t="shared" si="126"/>
        <v>0</v>
      </c>
      <c r="DD100" s="27">
        <f t="shared" si="126"/>
        <v>0</v>
      </c>
      <c r="DE100" s="27">
        <f t="shared" si="126"/>
        <v>0</v>
      </c>
      <c r="DF100" s="27">
        <f>U100-CJ100</f>
        <v>0</v>
      </c>
      <c r="DG100" s="27">
        <f>V100-CK100</f>
        <v>0</v>
      </c>
      <c r="DH100" s="27">
        <f>W100-CL100</f>
        <v>15002250</v>
      </c>
      <c r="DI100" s="27"/>
      <c r="DJ100" s="27">
        <f>Y100-CN100</f>
        <v>0</v>
      </c>
      <c r="DK100" s="27">
        <f>Z100-CO100</f>
        <v>0</v>
      </c>
      <c r="DL100" s="27">
        <f>AA100-CP100</f>
        <v>0</v>
      </c>
      <c r="DN100" s="33">
        <f t="shared" si="89"/>
        <v>26000000</v>
      </c>
      <c r="DO100" s="33">
        <f t="shared" si="90"/>
        <v>26000000</v>
      </c>
      <c r="DP100" s="33">
        <f t="shared" si="91"/>
        <v>26000000</v>
      </c>
    </row>
    <row r="101" spans="1:120" ht="33" customHeight="1" x14ac:dyDescent="0.25">
      <c r="A101" s="246"/>
      <c r="B101" s="93" t="s">
        <v>276</v>
      </c>
      <c r="C101" s="94" t="s">
        <v>277</v>
      </c>
      <c r="D101" s="24" t="s">
        <v>278</v>
      </c>
      <c r="E101" s="36">
        <v>301</v>
      </c>
      <c r="F101" s="26" t="s">
        <v>279</v>
      </c>
      <c r="G101" s="27">
        <f t="shared" si="110"/>
        <v>323000000</v>
      </c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>
        <v>322000000</v>
      </c>
      <c r="X101" s="27"/>
      <c r="Y101" s="27"/>
      <c r="Z101" s="27"/>
      <c r="AA101" s="27">
        <f>1000000</f>
        <v>1000000</v>
      </c>
      <c r="AC101" s="29">
        <f t="shared" si="111"/>
        <v>0.69181694427244578</v>
      </c>
      <c r="AD101" s="27">
        <f t="shared" si="112"/>
        <v>223456873</v>
      </c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>
        <f>+'[1]JUNIO 2016'!$Z$549</f>
        <v>223456873</v>
      </c>
      <c r="AU101" s="27"/>
      <c r="AV101" s="27"/>
      <c r="AW101" s="27"/>
      <c r="AX101" s="27"/>
      <c r="AY101" s="29">
        <f t="shared" si="113"/>
        <v>0.30818305572755422</v>
      </c>
      <c r="AZ101" s="27">
        <f t="shared" si="114"/>
        <v>99543127</v>
      </c>
      <c r="BA101" s="27">
        <f t="shared" si="115"/>
        <v>0</v>
      </c>
      <c r="BB101" s="27">
        <f t="shared" si="116"/>
        <v>0</v>
      </c>
      <c r="BC101" s="27">
        <f t="shared" si="116"/>
        <v>0</v>
      </c>
      <c r="BD101" s="27">
        <f t="shared" si="116"/>
        <v>0</v>
      </c>
      <c r="BE101" s="27">
        <f t="shared" ref="BE101:BP107" si="129">+L101-AI101</f>
        <v>0</v>
      </c>
      <c r="BF101" s="27">
        <f t="shared" si="129"/>
        <v>0</v>
      </c>
      <c r="BG101" s="27">
        <f t="shared" si="129"/>
        <v>0</v>
      </c>
      <c r="BH101" s="27">
        <f t="shared" si="129"/>
        <v>0</v>
      </c>
      <c r="BI101" s="27">
        <f t="shared" si="129"/>
        <v>0</v>
      </c>
      <c r="BJ101" s="27">
        <f t="shared" si="129"/>
        <v>0</v>
      </c>
      <c r="BK101" s="27">
        <f t="shared" si="129"/>
        <v>0</v>
      </c>
      <c r="BL101" s="27">
        <f t="shared" si="129"/>
        <v>0</v>
      </c>
      <c r="BM101" s="27">
        <f t="shared" si="129"/>
        <v>0</v>
      </c>
      <c r="BN101" s="27">
        <f t="shared" si="129"/>
        <v>0</v>
      </c>
      <c r="BO101" s="27">
        <f t="shared" si="129"/>
        <v>0</v>
      </c>
      <c r="BP101" s="27">
        <f t="shared" si="129"/>
        <v>98543127</v>
      </c>
      <c r="BQ101" s="27"/>
      <c r="BR101" s="27"/>
      <c r="BS101" s="27">
        <f t="shared" si="118"/>
        <v>0</v>
      </c>
      <c r="BT101" s="27">
        <f t="shared" ref="BT101:BT107" si="130">+AA101-AX101</f>
        <v>1000000</v>
      </c>
      <c r="BU101" s="29">
        <f t="shared" si="120"/>
        <v>0.66958216408668736</v>
      </c>
      <c r="BV101" s="27">
        <f t="shared" si="121"/>
        <v>216275039</v>
      </c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>
        <f>+'[1]JUNIO 2016'!$H$547</f>
        <v>216275039</v>
      </c>
      <c r="CM101" s="27"/>
      <c r="CN101" s="27"/>
      <c r="CO101" s="27"/>
      <c r="CP101" s="27"/>
      <c r="CQ101" s="29">
        <f t="shared" si="122"/>
        <v>0.33041783591331264</v>
      </c>
      <c r="CR101" s="27">
        <f t="shared" si="123"/>
        <v>106724961</v>
      </c>
      <c r="CS101" s="27">
        <f t="shared" si="124"/>
        <v>0</v>
      </c>
      <c r="CT101" s="27">
        <f t="shared" si="124"/>
        <v>0</v>
      </c>
      <c r="CU101" s="27">
        <f t="shared" si="124"/>
        <v>0</v>
      </c>
      <c r="CV101" s="27">
        <f t="shared" si="124"/>
        <v>0</v>
      </c>
      <c r="CW101" s="27">
        <f t="shared" si="124"/>
        <v>0</v>
      </c>
      <c r="CX101" s="27">
        <f t="shared" si="124"/>
        <v>0</v>
      </c>
      <c r="CY101" s="27">
        <f t="shared" si="124"/>
        <v>0</v>
      </c>
      <c r="CZ101" s="27">
        <f t="shared" ref="CZ101:DA107" si="131">+O101-CD101</f>
        <v>0</v>
      </c>
      <c r="DA101" s="27">
        <f t="shared" si="131"/>
        <v>0</v>
      </c>
      <c r="DB101" s="27">
        <f t="shared" si="124"/>
        <v>0</v>
      </c>
      <c r="DC101" s="27">
        <f t="shared" si="126"/>
        <v>0</v>
      </c>
      <c r="DD101" s="27">
        <f t="shared" si="126"/>
        <v>0</v>
      </c>
      <c r="DE101" s="27">
        <f t="shared" si="126"/>
        <v>0</v>
      </c>
      <c r="DF101" s="27">
        <f t="shared" ref="DF101:DH107" si="132">+U101-CJ101</f>
        <v>0</v>
      </c>
      <c r="DG101" s="27">
        <f t="shared" si="132"/>
        <v>0</v>
      </c>
      <c r="DH101" s="27">
        <f t="shared" si="132"/>
        <v>105724961</v>
      </c>
      <c r="DI101" s="27"/>
      <c r="DJ101" s="27">
        <f t="shared" ref="DJ101:DL107" si="133">+Y101-CN101</f>
        <v>0</v>
      </c>
      <c r="DK101" s="27">
        <f t="shared" si="133"/>
        <v>0</v>
      </c>
      <c r="DL101" s="27">
        <f t="shared" si="133"/>
        <v>1000000</v>
      </c>
      <c r="DN101" s="33">
        <f t="shared" si="89"/>
        <v>323000000</v>
      </c>
      <c r="DO101" s="33">
        <f t="shared" si="90"/>
        <v>323000000</v>
      </c>
      <c r="DP101" s="33">
        <f t="shared" si="91"/>
        <v>323000000</v>
      </c>
    </row>
    <row r="102" spans="1:120" ht="48" customHeight="1" x14ac:dyDescent="0.25">
      <c r="A102" s="246"/>
      <c r="B102" s="95" t="s">
        <v>280</v>
      </c>
      <c r="C102" s="75" t="s">
        <v>281</v>
      </c>
      <c r="D102" s="24" t="s">
        <v>282</v>
      </c>
      <c r="E102" s="25">
        <v>301</v>
      </c>
      <c r="F102" s="26" t="s">
        <v>283</v>
      </c>
      <c r="G102" s="27">
        <f t="shared" si="110"/>
        <v>325425485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>
        <v>316000000</v>
      </c>
      <c r="X102" s="27"/>
      <c r="Y102" s="27"/>
      <c r="Z102" s="27"/>
      <c r="AA102" s="27">
        <f>6000000+1000000+2425485</f>
        <v>9425485</v>
      </c>
      <c r="AC102" s="29">
        <f t="shared" si="111"/>
        <v>0.42678004152010407</v>
      </c>
      <c r="AD102" s="27">
        <f t="shared" si="112"/>
        <v>138885102</v>
      </c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>
        <f>+'[1]JUNIO 2016'!$Z$584</f>
        <v>134185102</v>
      </c>
      <c r="AU102" s="27"/>
      <c r="AV102" s="27"/>
      <c r="AW102" s="27"/>
      <c r="AX102" s="27">
        <f>+'[1]JUNIO 2016'!$AG$584</f>
        <v>4700000</v>
      </c>
      <c r="AY102" s="29">
        <f t="shared" si="113"/>
        <v>0.57321995847989593</v>
      </c>
      <c r="AZ102" s="27">
        <f t="shared" si="114"/>
        <v>186540383</v>
      </c>
      <c r="BA102" s="27">
        <f t="shared" si="115"/>
        <v>0</v>
      </c>
      <c r="BB102" s="27">
        <f t="shared" si="116"/>
        <v>0</v>
      </c>
      <c r="BC102" s="27">
        <f t="shared" si="116"/>
        <v>0</v>
      </c>
      <c r="BD102" s="27">
        <f t="shared" si="116"/>
        <v>0</v>
      </c>
      <c r="BE102" s="27">
        <f t="shared" si="129"/>
        <v>0</v>
      </c>
      <c r="BF102" s="27">
        <f t="shared" si="129"/>
        <v>0</v>
      </c>
      <c r="BG102" s="27">
        <f t="shared" si="129"/>
        <v>0</v>
      </c>
      <c r="BH102" s="27">
        <f t="shared" si="129"/>
        <v>0</v>
      </c>
      <c r="BI102" s="27">
        <f t="shared" si="129"/>
        <v>0</v>
      </c>
      <c r="BJ102" s="27">
        <f t="shared" si="129"/>
        <v>0</v>
      </c>
      <c r="BK102" s="27">
        <f t="shared" si="129"/>
        <v>0</v>
      </c>
      <c r="BL102" s="27">
        <f t="shared" si="129"/>
        <v>0</v>
      </c>
      <c r="BM102" s="27">
        <f t="shared" si="129"/>
        <v>0</v>
      </c>
      <c r="BN102" s="27">
        <f t="shared" si="129"/>
        <v>0</v>
      </c>
      <c r="BO102" s="27">
        <f t="shared" si="129"/>
        <v>0</v>
      </c>
      <c r="BP102" s="27">
        <f t="shared" si="129"/>
        <v>181814898</v>
      </c>
      <c r="BQ102" s="27"/>
      <c r="BR102" s="27"/>
      <c r="BS102" s="27">
        <f t="shared" si="118"/>
        <v>0</v>
      </c>
      <c r="BT102" s="27">
        <f t="shared" si="130"/>
        <v>4725485</v>
      </c>
      <c r="BU102" s="29">
        <f t="shared" si="120"/>
        <v>0.41936507216083585</v>
      </c>
      <c r="BV102" s="27">
        <f t="shared" si="121"/>
        <v>136472082</v>
      </c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>
        <f>+'[1]JUNIO 2016'!$H$582-CP102</f>
        <v>132865602</v>
      </c>
      <c r="CM102" s="27"/>
      <c r="CN102" s="27"/>
      <c r="CO102" s="27"/>
      <c r="CP102" s="27">
        <f>+'[1]JUNIO 2016'!$AG$602+'[1]JUNIO 2016'!$H$603+'[1]JUNIO 2016'!$AG$611+'[1]JUNIO 2016'!$H$621</f>
        <v>3606480</v>
      </c>
      <c r="CQ102" s="29">
        <f t="shared" si="122"/>
        <v>0.58063492783916415</v>
      </c>
      <c r="CR102" s="27">
        <f t="shared" si="123"/>
        <v>188953403</v>
      </c>
      <c r="CS102" s="27">
        <f t="shared" si="124"/>
        <v>0</v>
      </c>
      <c r="CT102" s="27">
        <f t="shared" si="124"/>
        <v>0</v>
      </c>
      <c r="CU102" s="27">
        <f t="shared" si="124"/>
        <v>0</v>
      </c>
      <c r="CV102" s="27">
        <f t="shared" si="124"/>
        <v>0</v>
      </c>
      <c r="CW102" s="27">
        <f t="shared" si="124"/>
        <v>0</v>
      </c>
      <c r="CX102" s="27">
        <f t="shared" si="124"/>
        <v>0</v>
      </c>
      <c r="CY102" s="27">
        <f t="shared" si="124"/>
        <v>0</v>
      </c>
      <c r="CZ102" s="27">
        <f t="shared" si="131"/>
        <v>0</v>
      </c>
      <c r="DA102" s="27">
        <f t="shared" si="131"/>
        <v>0</v>
      </c>
      <c r="DB102" s="27">
        <f t="shared" si="124"/>
        <v>0</v>
      </c>
      <c r="DC102" s="27">
        <f t="shared" si="126"/>
        <v>0</v>
      </c>
      <c r="DD102" s="27">
        <f t="shared" si="126"/>
        <v>0</v>
      </c>
      <c r="DE102" s="27">
        <f t="shared" si="126"/>
        <v>0</v>
      </c>
      <c r="DF102" s="27">
        <f t="shared" si="132"/>
        <v>0</v>
      </c>
      <c r="DG102" s="27">
        <f t="shared" si="132"/>
        <v>0</v>
      </c>
      <c r="DH102" s="27">
        <f t="shared" si="132"/>
        <v>183134398</v>
      </c>
      <c r="DI102" s="27"/>
      <c r="DJ102" s="27">
        <f t="shared" si="133"/>
        <v>0</v>
      </c>
      <c r="DK102" s="27">
        <f t="shared" si="133"/>
        <v>0</v>
      </c>
      <c r="DL102" s="27">
        <f t="shared" si="133"/>
        <v>5819005</v>
      </c>
      <c r="DN102" s="33">
        <f t="shared" si="89"/>
        <v>325425485</v>
      </c>
      <c r="DO102" s="33">
        <f t="shared" si="90"/>
        <v>325425485</v>
      </c>
      <c r="DP102" s="33">
        <f t="shared" si="91"/>
        <v>325425485</v>
      </c>
    </row>
    <row r="103" spans="1:120" ht="32.25" customHeight="1" x14ac:dyDescent="0.25">
      <c r="A103" s="246"/>
      <c r="B103" s="95" t="s">
        <v>284</v>
      </c>
      <c r="C103" s="75" t="s">
        <v>285</v>
      </c>
      <c r="D103" s="24" t="s">
        <v>286</v>
      </c>
      <c r="E103" s="25">
        <v>301</v>
      </c>
      <c r="F103" s="26" t="s">
        <v>287</v>
      </c>
      <c r="G103" s="27">
        <f t="shared" si="110"/>
        <v>72940000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>
        <v>67000000</v>
      </c>
      <c r="X103" s="27"/>
      <c r="Y103" s="27"/>
      <c r="Z103" s="27"/>
      <c r="AA103" s="27">
        <f>2000000+2682410+1000000+257590</f>
        <v>5940000</v>
      </c>
      <c r="AC103" s="29">
        <f t="shared" si="111"/>
        <v>0.26624622977789963</v>
      </c>
      <c r="AD103" s="27">
        <f t="shared" si="112"/>
        <v>19420000</v>
      </c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>
        <f>+'[1]JUNIO 2016'!$Z$626</f>
        <v>17580000</v>
      </c>
      <c r="AU103" s="27"/>
      <c r="AV103" s="27"/>
      <c r="AW103" s="27"/>
      <c r="AX103" s="27">
        <f>+'[1]JUNIO 2016'!$AG$626</f>
        <v>1840000</v>
      </c>
      <c r="AY103" s="29">
        <f t="shared" si="113"/>
        <v>0.73375377022210042</v>
      </c>
      <c r="AZ103" s="27">
        <f t="shared" si="114"/>
        <v>53520000</v>
      </c>
      <c r="BA103" s="27">
        <f t="shared" si="115"/>
        <v>0</v>
      </c>
      <c r="BB103" s="27">
        <f t="shared" si="116"/>
        <v>0</v>
      </c>
      <c r="BC103" s="27">
        <f t="shared" si="116"/>
        <v>0</v>
      </c>
      <c r="BD103" s="27">
        <f t="shared" si="116"/>
        <v>0</v>
      </c>
      <c r="BE103" s="27">
        <f t="shared" si="129"/>
        <v>0</v>
      </c>
      <c r="BF103" s="27">
        <f t="shared" si="129"/>
        <v>0</v>
      </c>
      <c r="BG103" s="27">
        <f t="shared" si="129"/>
        <v>0</v>
      </c>
      <c r="BH103" s="27">
        <f t="shared" si="129"/>
        <v>0</v>
      </c>
      <c r="BI103" s="27">
        <f t="shared" si="129"/>
        <v>0</v>
      </c>
      <c r="BJ103" s="27">
        <f t="shared" si="129"/>
        <v>0</v>
      </c>
      <c r="BK103" s="27">
        <f t="shared" si="129"/>
        <v>0</v>
      </c>
      <c r="BL103" s="27">
        <f t="shared" si="129"/>
        <v>0</v>
      </c>
      <c r="BM103" s="27">
        <f t="shared" si="129"/>
        <v>0</v>
      </c>
      <c r="BN103" s="27">
        <f t="shared" si="129"/>
        <v>0</v>
      </c>
      <c r="BO103" s="27">
        <f t="shared" si="129"/>
        <v>0</v>
      </c>
      <c r="BP103" s="27">
        <f t="shared" si="129"/>
        <v>49420000</v>
      </c>
      <c r="BQ103" s="27"/>
      <c r="BR103" s="27"/>
      <c r="BS103" s="27">
        <f t="shared" si="118"/>
        <v>0</v>
      </c>
      <c r="BT103" s="27">
        <f t="shared" si="130"/>
        <v>4100000</v>
      </c>
      <c r="BU103" s="29">
        <f t="shared" si="120"/>
        <v>0.26624622977789963</v>
      </c>
      <c r="BV103" s="27">
        <f t="shared" si="121"/>
        <v>19420000</v>
      </c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>
        <f>+'[1]JUNIO 2016'!$H$629</f>
        <v>17580000</v>
      </c>
      <c r="CM103" s="27"/>
      <c r="CN103" s="27"/>
      <c r="CO103" s="27"/>
      <c r="CP103" s="27">
        <f>+'[1]JUNIO 2016'!$H$627+'[1]JUNIO 2016'!$H$628+'[1]JUNIO 2016'!$H$631</f>
        <v>1840000</v>
      </c>
      <c r="CQ103" s="29">
        <f t="shared" si="122"/>
        <v>0.73375377022210042</v>
      </c>
      <c r="CR103" s="27">
        <f t="shared" si="123"/>
        <v>53520000</v>
      </c>
      <c r="CS103" s="27">
        <f t="shared" si="124"/>
        <v>0</v>
      </c>
      <c r="CT103" s="27">
        <f t="shared" si="124"/>
        <v>0</v>
      </c>
      <c r="CU103" s="27">
        <f t="shared" si="124"/>
        <v>0</v>
      </c>
      <c r="CV103" s="27">
        <f t="shared" si="124"/>
        <v>0</v>
      </c>
      <c r="CW103" s="27">
        <f t="shared" si="124"/>
        <v>0</v>
      </c>
      <c r="CX103" s="27">
        <f t="shared" si="124"/>
        <v>0</v>
      </c>
      <c r="CY103" s="27">
        <f t="shared" si="124"/>
        <v>0</v>
      </c>
      <c r="CZ103" s="27">
        <f t="shared" si="131"/>
        <v>0</v>
      </c>
      <c r="DA103" s="27">
        <f t="shared" si="131"/>
        <v>0</v>
      </c>
      <c r="DB103" s="27">
        <f t="shared" si="124"/>
        <v>0</v>
      </c>
      <c r="DC103" s="27">
        <f t="shared" si="126"/>
        <v>0</v>
      </c>
      <c r="DD103" s="27">
        <f t="shared" si="126"/>
        <v>0</v>
      </c>
      <c r="DE103" s="27">
        <f t="shared" si="126"/>
        <v>0</v>
      </c>
      <c r="DF103" s="27">
        <f t="shared" si="132"/>
        <v>0</v>
      </c>
      <c r="DG103" s="27">
        <f t="shared" si="132"/>
        <v>0</v>
      </c>
      <c r="DH103" s="27">
        <f t="shared" si="132"/>
        <v>49420000</v>
      </c>
      <c r="DI103" s="27"/>
      <c r="DJ103" s="27">
        <f t="shared" si="133"/>
        <v>0</v>
      </c>
      <c r="DK103" s="27">
        <f t="shared" si="133"/>
        <v>0</v>
      </c>
      <c r="DL103" s="27">
        <f t="shared" si="133"/>
        <v>4100000</v>
      </c>
      <c r="DN103" s="33">
        <f t="shared" si="89"/>
        <v>72940000</v>
      </c>
      <c r="DO103" s="33">
        <f t="shared" si="90"/>
        <v>72940000</v>
      </c>
      <c r="DP103" s="33">
        <f t="shared" si="91"/>
        <v>72940000</v>
      </c>
    </row>
    <row r="104" spans="1:120" x14ac:dyDescent="0.25">
      <c r="A104" s="246"/>
      <c r="B104" s="229" t="s">
        <v>288</v>
      </c>
      <c r="C104" s="75" t="s">
        <v>289</v>
      </c>
      <c r="D104" s="24" t="s">
        <v>290</v>
      </c>
      <c r="E104" s="25">
        <v>301</v>
      </c>
      <c r="F104" s="26" t="s">
        <v>259</v>
      </c>
      <c r="G104" s="27">
        <f t="shared" si="110"/>
        <v>1272000000</v>
      </c>
      <c r="H104" s="27"/>
      <c r="I104" s="27">
        <v>200000000</v>
      </c>
      <c r="J104" s="27">
        <v>268168096</v>
      </c>
      <c r="K104" s="27"/>
      <c r="L104" s="27">
        <v>701280247</v>
      </c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>
        <v>102551657</v>
      </c>
      <c r="X104" s="27"/>
      <c r="Y104" s="27"/>
      <c r="Z104" s="27"/>
      <c r="AA104" s="27"/>
      <c r="AC104" s="29">
        <f t="shared" si="111"/>
        <v>1</v>
      </c>
      <c r="AD104" s="27">
        <f t="shared" si="112"/>
        <v>1272000000</v>
      </c>
      <c r="AE104" s="27"/>
      <c r="AF104" s="27">
        <f>+'[5]ENERO 2016'!$K$218</f>
        <v>200000000</v>
      </c>
      <c r="AG104" s="27">
        <f>+'[5]ENERO 2016'!$M$218</f>
        <v>268168096</v>
      </c>
      <c r="AH104" s="27"/>
      <c r="AI104" s="27">
        <f>+'[5]ENERO 2016'!$O$218</f>
        <v>701280247</v>
      </c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>
        <f>+'[5]ENERO 2016'!$Z$218</f>
        <v>102551657</v>
      </c>
      <c r="AU104" s="27"/>
      <c r="AV104" s="27"/>
      <c r="AW104" s="27"/>
      <c r="AX104" s="27"/>
      <c r="AY104" s="29">
        <f t="shared" si="113"/>
        <v>0</v>
      </c>
      <c r="AZ104" s="27">
        <f t="shared" si="114"/>
        <v>0</v>
      </c>
      <c r="BA104" s="27">
        <f t="shared" si="115"/>
        <v>0</v>
      </c>
      <c r="BB104" s="27">
        <f t="shared" si="116"/>
        <v>0</v>
      </c>
      <c r="BC104" s="27">
        <f t="shared" si="116"/>
        <v>0</v>
      </c>
      <c r="BD104" s="27">
        <f t="shared" si="116"/>
        <v>0</v>
      </c>
      <c r="BE104" s="27">
        <f t="shared" si="129"/>
        <v>0</v>
      </c>
      <c r="BF104" s="27">
        <f t="shared" si="129"/>
        <v>0</v>
      </c>
      <c r="BG104" s="27">
        <f t="shared" si="129"/>
        <v>0</v>
      </c>
      <c r="BH104" s="27">
        <f t="shared" si="129"/>
        <v>0</v>
      </c>
      <c r="BI104" s="27">
        <f t="shared" si="129"/>
        <v>0</v>
      </c>
      <c r="BJ104" s="27">
        <f t="shared" si="129"/>
        <v>0</v>
      </c>
      <c r="BK104" s="27">
        <f t="shared" si="129"/>
        <v>0</v>
      </c>
      <c r="BL104" s="27">
        <f t="shared" si="129"/>
        <v>0</v>
      </c>
      <c r="BM104" s="27">
        <f t="shared" si="129"/>
        <v>0</v>
      </c>
      <c r="BN104" s="27">
        <f t="shared" si="129"/>
        <v>0</v>
      </c>
      <c r="BO104" s="27">
        <f t="shared" si="129"/>
        <v>0</v>
      </c>
      <c r="BP104" s="27">
        <f t="shared" si="129"/>
        <v>0</v>
      </c>
      <c r="BQ104" s="27"/>
      <c r="BR104" s="27"/>
      <c r="BS104" s="27">
        <f t="shared" si="118"/>
        <v>0</v>
      </c>
      <c r="BT104" s="27">
        <f t="shared" si="130"/>
        <v>0</v>
      </c>
      <c r="BU104" s="29">
        <f t="shared" si="120"/>
        <v>0.99403155896226414</v>
      </c>
      <c r="BV104" s="27">
        <f t="shared" si="121"/>
        <v>1264408143</v>
      </c>
      <c r="BW104" s="27"/>
      <c r="BX104" s="27">
        <f>+'[4]ABRIL 2016'!$H$457</f>
        <v>192408143</v>
      </c>
      <c r="BY104" s="27">
        <v>268168096</v>
      </c>
      <c r="BZ104" s="27"/>
      <c r="CA104" s="27">
        <v>701280247</v>
      </c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>
        <v>102551657</v>
      </c>
      <c r="CM104" s="27"/>
      <c r="CN104" s="27"/>
      <c r="CO104" s="27"/>
      <c r="CP104" s="27"/>
      <c r="CQ104" s="29">
        <f t="shared" si="122"/>
        <v>5.968441037735861E-3</v>
      </c>
      <c r="CR104" s="27">
        <f t="shared" si="123"/>
        <v>7591857</v>
      </c>
      <c r="CS104" s="27">
        <f t="shared" si="124"/>
        <v>0</v>
      </c>
      <c r="CT104" s="27">
        <f t="shared" si="124"/>
        <v>7591857</v>
      </c>
      <c r="CU104" s="27">
        <f t="shared" si="124"/>
        <v>0</v>
      </c>
      <c r="CV104" s="27">
        <f t="shared" si="124"/>
        <v>0</v>
      </c>
      <c r="CW104" s="27">
        <f t="shared" si="124"/>
        <v>0</v>
      </c>
      <c r="CX104" s="27">
        <f t="shared" si="124"/>
        <v>0</v>
      </c>
      <c r="CY104" s="27">
        <f t="shared" si="124"/>
        <v>0</v>
      </c>
      <c r="CZ104" s="27">
        <f t="shared" si="131"/>
        <v>0</v>
      </c>
      <c r="DA104" s="27">
        <f t="shared" si="131"/>
        <v>0</v>
      </c>
      <c r="DB104" s="27">
        <f t="shared" si="124"/>
        <v>0</v>
      </c>
      <c r="DC104" s="27">
        <f t="shared" si="126"/>
        <v>0</v>
      </c>
      <c r="DD104" s="27">
        <f t="shared" si="126"/>
        <v>0</v>
      </c>
      <c r="DE104" s="27">
        <f t="shared" si="126"/>
        <v>0</v>
      </c>
      <c r="DF104" s="27">
        <f t="shared" si="132"/>
        <v>0</v>
      </c>
      <c r="DG104" s="27">
        <f t="shared" si="132"/>
        <v>0</v>
      </c>
      <c r="DH104" s="27">
        <f t="shared" si="132"/>
        <v>0</v>
      </c>
      <c r="DI104" s="27"/>
      <c r="DJ104" s="27">
        <f t="shared" si="133"/>
        <v>0</v>
      </c>
      <c r="DK104" s="27">
        <f t="shared" si="133"/>
        <v>0</v>
      </c>
      <c r="DL104" s="27">
        <f t="shared" si="133"/>
        <v>0</v>
      </c>
      <c r="DN104" s="33">
        <f t="shared" si="89"/>
        <v>1272000000</v>
      </c>
      <c r="DO104" s="33">
        <f t="shared" si="90"/>
        <v>1272000000</v>
      </c>
      <c r="DP104" s="33">
        <f t="shared" si="91"/>
        <v>1272000000</v>
      </c>
    </row>
    <row r="105" spans="1:120" ht="19.5" customHeight="1" x14ac:dyDescent="0.25">
      <c r="A105" s="246"/>
      <c r="B105" s="230"/>
      <c r="C105" s="75" t="s">
        <v>291</v>
      </c>
      <c r="D105" s="24" t="s">
        <v>292</v>
      </c>
      <c r="E105" s="25">
        <v>301</v>
      </c>
      <c r="F105" s="26" t="s">
        <v>259</v>
      </c>
      <c r="G105" s="27">
        <f t="shared" si="110"/>
        <v>20000000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>
        <v>20000000</v>
      </c>
      <c r="X105" s="27"/>
      <c r="Y105" s="27"/>
      <c r="Z105" s="27"/>
      <c r="AA105" s="27"/>
      <c r="AC105" s="29">
        <f t="shared" si="111"/>
        <v>1</v>
      </c>
      <c r="AD105" s="27">
        <f t="shared" si="112"/>
        <v>20000000</v>
      </c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>
        <f>+'[5]ENERO 2016'!$Z$227</f>
        <v>20000000</v>
      </c>
      <c r="AU105" s="27"/>
      <c r="AV105" s="27"/>
      <c r="AW105" s="27"/>
      <c r="AX105" s="27"/>
      <c r="AY105" s="29">
        <f t="shared" si="113"/>
        <v>0</v>
      </c>
      <c r="AZ105" s="27">
        <f t="shared" si="114"/>
        <v>0</v>
      </c>
      <c r="BA105" s="27">
        <f t="shared" si="115"/>
        <v>0</v>
      </c>
      <c r="BB105" s="27">
        <f t="shared" si="116"/>
        <v>0</v>
      </c>
      <c r="BC105" s="27">
        <f t="shared" si="116"/>
        <v>0</v>
      </c>
      <c r="BD105" s="27">
        <f t="shared" si="116"/>
        <v>0</v>
      </c>
      <c r="BE105" s="27">
        <f t="shared" si="129"/>
        <v>0</v>
      </c>
      <c r="BF105" s="27">
        <f t="shared" si="129"/>
        <v>0</v>
      </c>
      <c r="BG105" s="27">
        <f t="shared" si="129"/>
        <v>0</v>
      </c>
      <c r="BH105" s="27">
        <f t="shared" si="129"/>
        <v>0</v>
      </c>
      <c r="BI105" s="27">
        <f t="shared" si="129"/>
        <v>0</v>
      </c>
      <c r="BJ105" s="27">
        <f t="shared" si="129"/>
        <v>0</v>
      </c>
      <c r="BK105" s="27">
        <f t="shared" si="129"/>
        <v>0</v>
      </c>
      <c r="BL105" s="27">
        <f t="shared" si="129"/>
        <v>0</v>
      </c>
      <c r="BM105" s="27">
        <f t="shared" si="129"/>
        <v>0</v>
      </c>
      <c r="BN105" s="27">
        <f t="shared" si="129"/>
        <v>0</v>
      </c>
      <c r="BO105" s="27">
        <f t="shared" si="129"/>
        <v>0</v>
      </c>
      <c r="BP105" s="27">
        <f t="shared" si="129"/>
        <v>0</v>
      </c>
      <c r="BQ105" s="27"/>
      <c r="BR105" s="27"/>
      <c r="BS105" s="27">
        <f t="shared" si="118"/>
        <v>0</v>
      </c>
      <c r="BT105" s="27">
        <f t="shared" si="130"/>
        <v>0</v>
      </c>
      <c r="BU105" s="29">
        <f t="shared" si="120"/>
        <v>0.57433619999999996</v>
      </c>
      <c r="BV105" s="27">
        <f t="shared" si="121"/>
        <v>11486724</v>
      </c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>
        <f>+'[4]ABRIL 2016'!$H$474</f>
        <v>11486724</v>
      </c>
      <c r="CM105" s="27"/>
      <c r="CN105" s="27"/>
      <c r="CO105" s="27"/>
      <c r="CP105" s="27"/>
      <c r="CQ105" s="29">
        <f t="shared" si="122"/>
        <v>0.42566380000000004</v>
      </c>
      <c r="CR105" s="27">
        <f t="shared" si="123"/>
        <v>8513276</v>
      </c>
      <c r="CS105" s="27">
        <f t="shared" si="124"/>
        <v>0</v>
      </c>
      <c r="CT105" s="27">
        <f t="shared" si="124"/>
        <v>0</v>
      </c>
      <c r="CU105" s="27">
        <f t="shared" si="124"/>
        <v>0</v>
      </c>
      <c r="CV105" s="27">
        <f t="shared" si="124"/>
        <v>0</v>
      </c>
      <c r="CW105" s="27">
        <f t="shared" si="124"/>
        <v>0</v>
      </c>
      <c r="CX105" s="27">
        <f t="shared" si="124"/>
        <v>0</v>
      </c>
      <c r="CY105" s="27">
        <f t="shared" si="124"/>
        <v>0</v>
      </c>
      <c r="CZ105" s="27">
        <f t="shared" si="131"/>
        <v>0</v>
      </c>
      <c r="DA105" s="27">
        <f t="shared" si="131"/>
        <v>0</v>
      </c>
      <c r="DB105" s="27">
        <f t="shared" si="124"/>
        <v>0</v>
      </c>
      <c r="DC105" s="27">
        <f t="shared" si="126"/>
        <v>0</v>
      </c>
      <c r="DD105" s="27">
        <f t="shared" si="126"/>
        <v>0</v>
      </c>
      <c r="DE105" s="27">
        <f t="shared" si="126"/>
        <v>0</v>
      </c>
      <c r="DF105" s="27">
        <f t="shared" si="132"/>
        <v>0</v>
      </c>
      <c r="DG105" s="27">
        <f t="shared" si="132"/>
        <v>0</v>
      </c>
      <c r="DH105" s="27">
        <f t="shared" si="132"/>
        <v>8513276</v>
      </c>
      <c r="DI105" s="27"/>
      <c r="DJ105" s="27">
        <f t="shared" si="133"/>
        <v>0</v>
      </c>
      <c r="DK105" s="27">
        <f t="shared" si="133"/>
        <v>0</v>
      </c>
      <c r="DL105" s="27">
        <f t="shared" si="133"/>
        <v>0</v>
      </c>
      <c r="DN105" s="33">
        <f t="shared" si="89"/>
        <v>20000000</v>
      </c>
      <c r="DO105" s="33">
        <f t="shared" si="90"/>
        <v>20000000</v>
      </c>
      <c r="DP105" s="33">
        <f t="shared" si="91"/>
        <v>20000000</v>
      </c>
    </row>
    <row r="106" spans="1:120" ht="23.25" customHeight="1" x14ac:dyDescent="0.25">
      <c r="A106" s="246"/>
      <c r="B106" s="231"/>
      <c r="C106" s="75" t="s">
        <v>293</v>
      </c>
      <c r="D106" s="24" t="s">
        <v>294</v>
      </c>
      <c r="E106" s="96">
        <v>301</v>
      </c>
      <c r="F106" s="26" t="s">
        <v>259</v>
      </c>
      <c r="G106" s="27">
        <f t="shared" si="110"/>
        <v>100000000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>
        <v>100000000</v>
      </c>
      <c r="X106" s="27"/>
      <c r="Y106" s="27"/>
      <c r="Z106" s="27"/>
      <c r="AA106" s="27"/>
      <c r="AC106" s="29">
        <f t="shared" si="111"/>
        <v>1</v>
      </c>
      <c r="AD106" s="27">
        <f t="shared" si="112"/>
        <v>100000000</v>
      </c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>
        <f>+'[4]ABRIL 2016'!$Z$480</f>
        <v>100000000</v>
      </c>
      <c r="AU106" s="27"/>
      <c r="AV106" s="27"/>
      <c r="AW106" s="27"/>
      <c r="AX106" s="27"/>
      <c r="AY106" s="29">
        <f t="shared" si="113"/>
        <v>0</v>
      </c>
      <c r="AZ106" s="27">
        <f t="shared" si="114"/>
        <v>0</v>
      </c>
      <c r="BA106" s="27">
        <f t="shared" si="115"/>
        <v>0</v>
      </c>
      <c r="BB106" s="27">
        <f t="shared" si="116"/>
        <v>0</v>
      </c>
      <c r="BC106" s="27">
        <f t="shared" si="116"/>
        <v>0</v>
      </c>
      <c r="BD106" s="27">
        <f t="shared" si="116"/>
        <v>0</v>
      </c>
      <c r="BE106" s="27">
        <f t="shared" si="129"/>
        <v>0</v>
      </c>
      <c r="BF106" s="27">
        <f t="shared" si="129"/>
        <v>0</v>
      </c>
      <c r="BG106" s="27">
        <f t="shared" si="129"/>
        <v>0</v>
      </c>
      <c r="BH106" s="27">
        <f t="shared" si="129"/>
        <v>0</v>
      </c>
      <c r="BI106" s="27">
        <f t="shared" si="129"/>
        <v>0</v>
      </c>
      <c r="BJ106" s="27">
        <f t="shared" si="129"/>
        <v>0</v>
      </c>
      <c r="BK106" s="27">
        <f t="shared" si="129"/>
        <v>0</v>
      </c>
      <c r="BL106" s="27">
        <f t="shared" si="129"/>
        <v>0</v>
      </c>
      <c r="BM106" s="27">
        <f t="shared" si="129"/>
        <v>0</v>
      </c>
      <c r="BN106" s="27">
        <f t="shared" si="129"/>
        <v>0</v>
      </c>
      <c r="BO106" s="27">
        <f t="shared" si="129"/>
        <v>0</v>
      </c>
      <c r="BP106" s="27">
        <f t="shared" si="129"/>
        <v>0</v>
      </c>
      <c r="BQ106" s="27"/>
      <c r="BR106" s="27"/>
      <c r="BS106" s="27">
        <f t="shared" si="118"/>
        <v>0</v>
      </c>
      <c r="BT106" s="27">
        <f t="shared" si="130"/>
        <v>0</v>
      </c>
      <c r="BU106" s="29">
        <f t="shared" si="120"/>
        <v>0.84458115</v>
      </c>
      <c r="BV106" s="27">
        <f t="shared" si="121"/>
        <v>84458115</v>
      </c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>
        <f>+'[1]JUNIO 2016'!$H$658</f>
        <v>84458115</v>
      </c>
      <c r="CM106" s="27"/>
      <c r="CN106" s="27"/>
      <c r="CO106" s="27"/>
      <c r="CP106" s="27"/>
      <c r="CQ106" s="29">
        <f t="shared" si="122"/>
        <v>0.15541885</v>
      </c>
      <c r="CR106" s="27">
        <f t="shared" si="123"/>
        <v>15541885</v>
      </c>
      <c r="CS106" s="27">
        <f t="shared" si="124"/>
        <v>0</v>
      </c>
      <c r="CT106" s="27">
        <f t="shared" si="124"/>
        <v>0</v>
      </c>
      <c r="CU106" s="27">
        <f t="shared" si="124"/>
        <v>0</v>
      </c>
      <c r="CV106" s="27">
        <f t="shared" si="124"/>
        <v>0</v>
      </c>
      <c r="CW106" s="27">
        <f t="shared" si="124"/>
        <v>0</v>
      </c>
      <c r="CX106" s="27">
        <f t="shared" si="124"/>
        <v>0</v>
      </c>
      <c r="CY106" s="27">
        <f t="shared" si="124"/>
        <v>0</v>
      </c>
      <c r="CZ106" s="27">
        <f t="shared" si="131"/>
        <v>0</v>
      </c>
      <c r="DA106" s="27">
        <f t="shared" si="131"/>
        <v>0</v>
      </c>
      <c r="DB106" s="27">
        <f t="shared" si="124"/>
        <v>0</v>
      </c>
      <c r="DC106" s="27">
        <f t="shared" si="126"/>
        <v>0</v>
      </c>
      <c r="DD106" s="27">
        <f t="shared" si="126"/>
        <v>0</v>
      </c>
      <c r="DE106" s="27">
        <f t="shared" si="126"/>
        <v>0</v>
      </c>
      <c r="DF106" s="27">
        <f t="shared" si="132"/>
        <v>0</v>
      </c>
      <c r="DG106" s="27">
        <f t="shared" si="132"/>
        <v>0</v>
      </c>
      <c r="DH106" s="27">
        <f t="shared" si="132"/>
        <v>15541885</v>
      </c>
      <c r="DI106" s="27"/>
      <c r="DJ106" s="27">
        <f t="shared" si="133"/>
        <v>0</v>
      </c>
      <c r="DK106" s="27">
        <f t="shared" si="133"/>
        <v>0</v>
      </c>
      <c r="DL106" s="27">
        <f t="shared" si="133"/>
        <v>0</v>
      </c>
      <c r="DN106" s="33">
        <f t="shared" si="89"/>
        <v>100000000</v>
      </c>
      <c r="DO106" s="33">
        <f t="shared" si="90"/>
        <v>100000000</v>
      </c>
      <c r="DP106" s="33">
        <f t="shared" si="91"/>
        <v>100000000</v>
      </c>
    </row>
    <row r="107" spans="1:120" ht="18" customHeight="1" x14ac:dyDescent="0.25">
      <c r="A107" s="246"/>
      <c r="B107" s="95" t="s">
        <v>295</v>
      </c>
      <c r="C107" s="75" t="s">
        <v>296</v>
      </c>
      <c r="D107" s="24" t="s">
        <v>297</v>
      </c>
      <c r="E107" s="96">
        <v>301</v>
      </c>
      <c r="F107" s="26" t="s">
        <v>259</v>
      </c>
      <c r="G107" s="27">
        <f t="shared" si="110"/>
        <v>50000000</v>
      </c>
      <c r="H107" s="27"/>
      <c r="I107" s="27"/>
      <c r="J107" s="27">
        <f>50000000-50000000</f>
        <v>0</v>
      </c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>
        <f>21264791+28735209</f>
        <v>50000000</v>
      </c>
      <c r="W107" s="27"/>
      <c r="X107" s="27"/>
      <c r="Y107" s="27"/>
      <c r="Z107" s="27"/>
      <c r="AA107" s="27"/>
      <c r="AC107" s="29">
        <f t="shared" si="111"/>
        <v>0.60117946</v>
      </c>
      <c r="AD107" s="27">
        <f t="shared" si="112"/>
        <v>30058973</v>
      </c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>
        <f>+'[3]MAYO 2016'!$Y$601</f>
        <v>30058973</v>
      </c>
      <c r="AT107" s="27"/>
      <c r="AU107" s="27"/>
      <c r="AV107" s="27"/>
      <c r="AW107" s="27"/>
      <c r="AX107" s="27"/>
      <c r="AY107" s="29">
        <f t="shared" si="113"/>
        <v>0.39882054</v>
      </c>
      <c r="AZ107" s="27">
        <f t="shared" si="114"/>
        <v>19941027</v>
      </c>
      <c r="BA107" s="27">
        <f t="shared" si="115"/>
        <v>0</v>
      </c>
      <c r="BB107" s="27">
        <f t="shared" si="116"/>
        <v>0</v>
      </c>
      <c r="BC107" s="27">
        <f t="shared" si="116"/>
        <v>0</v>
      </c>
      <c r="BD107" s="27">
        <f t="shared" si="116"/>
        <v>0</v>
      </c>
      <c r="BE107" s="27">
        <f t="shared" si="129"/>
        <v>0</v>
      </c>
      <c r="BF107" s="27">
        <f t="shared" si="129"/>
        <v>0</v>
      </c>
      <c r="BG107" s="27">
        <f t="shared" si="129"/>
        <v>0</v>
      </c>
      <c r="BH107" s="27">
        <f t="shared" si="129"/>
        <v>0</v>
      </c>
      <c r="BI107" s="27">
        <f t="shared" si="129"/>
        <v>0</v>
      </c>
      <c r="BJ107" s="27">
        <f t="shared" si="129"/>
        <v>0</v>
      </c>
      <c r="BK107" s="27">
        <f t="shared" si="129"/>
        <v>0</v>
      </c>
      <c r="BL107" s="27">
        <f t="shared" si="129"/>
        <v>0</v>
      </c>
      <c r="BM107" s="27">
        <f t="shared" si="129"/>
        <v>0</v>
      </c>
      <c r="BN107" s="27">
        <f t="shared" si="129"/>
        <v>0</v>
      </c>
      <c r="BO107" s="27">
        <f t="shared" si="129"/>
        <v>19941027</v>
      </c>
      <c r="BP107" s="27">
        <f t="shared" si="129"/>
        <v>0</v>
      </c>
      <c r="BQ107" s="27"/>
      <c r="BR107" s="27"/>
      <c r="BS107" s="27">
        <f t="shared" si="118"/>
        <v>0</v>
      </c>
      <c r="BT107" s="27">
        <f t="shared" si="130"/>
        <v>0</v>
      </c>
      <c r="BU107" s="29">
        <f t="shared" si="120"/>
        <v>0.60117946</v>
      </c>
      <c r="BV107" s="27">
        <f t="shared" si="121"/>
        <v>30058973</v>
      </c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>
        <f>+'[3]MAYO 2016'!$H$599</f>
        <v>30058973</v>
      </c>
      <c r="CL107" s="27"/>
      <c r="CM107" s="27"/>
      <c r="CN107" s="27"/>
      <c r="CO107" s="27"/>
      <c r="CP107" s="27"/>
      <c r="CQ107" s="29">
        <f t="shared" si="122"/>
        <v>0.39882054</v>
      </c>
      <c r="CR107" s="27">
        <f t="shared" si="123"/>
        <v>19941027</v>
      </c>
      <c r="CS107" s="27">
        <f t="shared" si="124"/>
        <v>0</v>
      </c>
      <c r="CT107" s="27">
        <f t="shared" si="124"/>
        <v>0</v>
      </c>
      <c r="CU107" s="27">
        <f t="shared" si="124"/>
        <v>0</v>
      </c>
      <c r="CV107" s="27">
        <f t="shared" si="124"/>
        <v>0</v>
      </c>
      <c r="CW107" s="27">
        <f t="shared" si="124"/>
        <v>0</v>
      </c>
      <c r="CX107" s="27">
        <f t="shared" si="124"/>
        <v>0</v>
      </c>
      <c r="CY107" s="27">
        <f t="shared" si="124"/>
        <v>0</v>
      </c>
      <c r="CZ107" s="27">
        <f t="shared" si="131"/>
        <v>0</v>
      </c>
      <c r="DA107" s="27">
        <f t="shared" si="131"/>
        <v>0</v>
      </c>
      <c r="DB107" s="27">
        <f t="shared" si="124"/>
        <v>0</v>
      </c>
      <c r="DC107" s="27">
        <f t="shared" si="126"/>
        <v>0</v>
      </c>
      <c r="DD107" s="27">
        <f t="shared" si="126"/>
        <v>0</v>
      </c>
      <c r="DE107" s="27">
        <f t="shared" si="126"/>
        <v>0</v>
      </c>
      <c r="DF107" s="27">
        <f t="shared" si="132"/>
        <v>0</v>
      </c>
      <c r="DG107" s="27">
        <f t="shared" si="132"/>
        <v>19941027</v>
      </c>
      <c r="DH107" s="27">
        <f t="shared" si="132"/>
        <v>0</v>
      </c>
      <c r="DI107" s="27"/>
      <c r="DJ107" s="27">
        <f t="shared" si="133"/>
        <v>0</v>
      </c>
      <c r="DK107" s="27">
        <f t="shared" si="133"/>
        <v>0</v>
      </c>
      <c r="DL107" s="27">
        <f t="shared" si="133"/>
        <v>0</v>
      </c>
      <c r="DN107" s="33">
        <f t="shared" si="89"/>
        <v>50000000</v>
      </c>
      <c r="DO107" s="33">
        <f t="shared" si="90"/>
        <v>50000000</v>
      </c>
      <c r="DP107" s="33">
        <f t="shared" si="91"/>
        <v>50000000</v>
      </c>
    </row>
    <row r="108" spans="1:120" s="50" customFormat="1" ht="21" customHeight="1" thickBot="1" x14ac:dyDescent="0.3">
      <c r="A108" s="79"/>
      <c r="B108" s="247" t="s">
        <v>298</v>
      </c>
      <c r="C108" s="248"/>
      <c r="D108" s="248"/>
      <c r="E108" s="248"/>
      <c r="F108" s="249"/>
      <c r="G108" s="68">
        <f t="shared" ref="G108:AA108" si="134">SUM(G93:G107)</f>
        <v>2524365485</v>
      </c>
      <c r="H108" s="68">
        <f t="shared" si="134"/>
        <v>0</v>
      </c>
      <c r="I108" s="68">
        <f t="shared" si="134"/>
        <v>200000000</v>
      </c>
      <c r="J108" s="68">
        <f t="shared" si="134"/>
        <v>268168096</v>
      </c>
      <c r="K108" s="68">
        <f t="shared" si="134"/>
        <v>0</v>
      </c>
      <c r="L108" s="68">
        <f t="shared" si="134"/>
        <v>701280247</v>
      </c>
      <c r="M108" s="68">
        <f t="shared" si="134"/>
        <v>0</v>
      </c>
      <c r="N108" s="68">
        <f t="shared" si="134"/>
        <v>0</v>
      </c>
      <c r="O108" s="68">
        <f t="shared" si="134"/>
        <v>0</v>
      </c>
      <c r="P108" s="68">
        <f t="shared" si="134"/>
        <v>0</v>
      </c>
      <c r="Q108" s="68">
        <f t="shared" si="134"/>
        <v>0</v>
      </c>
      <c r="R108" s="68">
        <f t="shared" si="134"/>
        <v>0</v>
      </c>
      <c r="S108" s="68">
        <f t="shared" si="134"/>
        <v>0</v>
      </c>
      <c r="T108" s="68">
        <f t="shared" si="134"/>
        <v>0</v>
      </c>
      <c r="U108" s="68">
        <f t="shared" si="134"/>
        <v>0</v>
      </c>
      <c r="V108" s="68">
        <f t="shared" si="134"/>
        <v>50000000</v>
      </c>
      <c r="W108" s="68">
        <f t="shared" si="134"/>
        <v>1262551657</v>
      </c>
      <c r="X108" s="68">
        <f t="shared" si="134"/>
        <v>0</v>
      </c>
      <c r="Y108" s="68">
        <f t="shared" si="134"/>
        <v>0</v>
      </c>
      <c r="Z108" s="68">
        <f t="shared" si="134"/>
        <v>0</v>
      </c>
      <c r="AA108" s="68">
        <f t="shared" si="134"/>
        <v>42365485</v>
      </c>
      <c r="AC108" s="46">
        <f t="shared" si="111"/>
        <v>0.80858012483877706</v>
      </c>
      <c r="AD108" s="68">
        <f>SUM(AD93:AD107)</f>
        <v>2041151759</v>
      </c>
      <c r="AE108" s="68"/>
      <c r="AF108" s="68">
        <f t="shared" ref="AF108:AX108" si="135">SUM(AF93:AF107)</f>
        <v>200000000</v>
      </c>
      <c r="AG108" s="68">
        <f t="shared" si="135"/>
        <v>268168096</v>
      </c>
      <c r="AH108" s="68">
        <f t="shared" si="135"/>
        <v>0</v>
      </c>
      <c r="AI108" s="68">
        <f t="shared" si="135"/>
        <v>701280247</v>
      </c>
      <c r="AJ108" s="68">
        <f t="shared" si="135"/>
        <v>0</v>
      </c>
      <c r="AK108" s="68">
        <f t="shared" si="135"/>
        <v>0</v>
      </c>
      <c r="AL108" s="68">
        <f t="shared" si="135"/>
        <v>0</v>
      </c>
      <c r="AM108" s="68">
        <f t="shared" si="135"/>
        <v>0</v>
      </c>
      <c r="AN108" s="68">
        <f t="shared" si="135"/>
        <v>0</v>
      </c>
      <c r="AO108" s="68">
        <f t="shared" si="135"/>
        <v>0</v>
      </c>
      <c r="AP108" s="68">
        <f t="shared" si="135"/>
        <v>0</v>
      </c>
      <c r="AQ108" s="68">
        <f t="shared" si="135"/>
        <v>0</v>
      </c>
      <c r="AR108" s="68">
        <f t="shared" si="135"/>
        <v>0</v>
      </c>
      <c r="AS108" s="68">
        <f t="shared" si="135"/>
        <v>30058973</v>
      </c>
      <c r="AT108" s="68">
        <f t="shared" si="135"/>
        <v>822749581</v>
      </c>
      <c r="AU108" s="68">
        <f t="shared" si="135"/>
        <v>0</v>
      </c>
      <c r="AV108" s="68">
        <f t="shared" si="135"/>
        <v>0</v>
      </c>
      <c r="AW108" s="68">
        <f t="shared" si="135"/>
        <v>0</v>
      </c>
      <c r="AX108" s="68">
        <f t="shared" si="135"/>
        <v>18894862</v>
      </c>
      <c r="AY108" s="46">
        <f t="shared" si="113"/>
        <v>0.19141987516122294</v>
      </c>
      <c r="AZ108" s="68">
        <f>SUM(AZ93:AZ107)</f>
        <v>483213726</v>
      </c>
      <c r="BA108" s="68"/>
      <c r="BB108" s="68">
        <f t="shared" ref="BB108:BT108" si="136">SUM(BB93:BB107)</f>
        <v>0</v>
      </c>
      <c r="BC108" s="68">
        <f t="shared" si="136"/>
        <v>0</v>
      </c>
      <c r="BD108" s="68">
        <f t="shared" si="136"/>
        <v>0</v>
      </c>
      <c r="BE108" s="68">
        <f t="shared" si="136"/>
        <v>0</v>
      </c>
      <c r="BF108" s="68">
        <f t="shared" si="136"/>
        <v>0</v>
      </c>
      <c r="BG108" s="68">
        <f t="shared" si="136"/>
        <v>0</v>
      </c>
      <c r="BH108" s="68">
        <f t="shared" si="136"/>
        <v>0</v>
      </c>
      <c r="BI108" s="68">
        <f t="shared" si="136"/>
        <v>0</v>
      </c>
      <c r="BJ108" s="68">
        <f t="shared" si="136"/>
        <v>0</v>
      </c>
      <c r="BK108" s="68">
        <f t="shared" si="136"/>
        <v>0</v>
      </c>
      <c r="BL108" s="68">
        <f t="shared" si="136"/>
        <v>0</v>
      </c>
      <c r="BM108" s="68">
        <f t="shared" si="136"/>
        <v>0</v>
      </c>
      <c r="BN108" s="68">
        <f t="shared" si="136"/>
        <v>0</v>
      </c>
      <c r="BO108" s="68">
        <f t="shared" si="136"/>
        <v>19941027</v>
      </c>
      <c r="BP108" s="68">
        <f t="shared" si="136"/>
        <v>439802076</v>
      </c>
      <c r="BQ108" s="68">
        <f t="shared" si="136"/>
        <v>0</v>
      </c>
      <c r="BR108" s="68">
        <f t="shared" si="136"/>
        <v>0</v>
      </c>
      <c r="BS108" s="68">
        <f t="shared" si="136"/>
        <v>0</v>
      </c>
      <c r="BT108" s="68">
        <f t="shared" si="136"/>
        <v>23470623</v>
      </c>
      <c r="BU108" s="46">
        <f t="shared" si="120"/>
        <v>0.76553122655295691</v>
      </c>
      <c r="BV108" s="68">
        <f>SUM(BV93:BV107)</f>
        <v>1932480606</v>
      </c>
      <c r="BW108" s="68">
        <f>SUM(BW93:BW107)</f>
        <v>0</v>
      </c>
      <c r="BX108" s="68">
        <f>SUM(BX93:BX107)</f>
        <v>192408143</v>
      </c>
      <c r="BY108" s="68">
        <f>SUM(BY93:BY107)</f>
        <v>268168096</v>
      </c>
      <c r="BZ108" s="68"/>
      <c r="CA108" s="68">
        <f>SUM(CA93:CA107)</f>
        <v>701280247</v>
      </c>
      <c r="CB108" s="68">
        <f>SUM(CB93:CB107)</f>
        <v>0</v>
      </c>
      <c r="CC108" s="68"/>
      <c r="CD108" s="68">
        <f t="shared" ref="CD108:CL108" si="137">SUM(CD93:CD107)</f>
        <v>0</v>
      </c>
      <c r="CE108" s="68">
        <f t="shared" si="137"/>
        <v>0</v>
      </c>
      <c r="CF108" s="68">
        <f t="shared" si="137"/>
        <v>0</v>
      </c>
      <c r="CG108" s="68">
        <f t="shared" si="137"/>
        <v>0</v>
      </c>
      <c r="CH108" s="68">
        <f t="shared" si="137"/>
        <v>0</v>
      </c>
      <c r="CI108" s="68">
        <f t="shared" si="137"/>
        <v>0</v>
      </c>
      <c r="CJ108" s="68">
        <f t="shared" si="137"/>
        <v>0</v>
      </c>
      <c r="CK108" s="68">
        <f t="shared" si="137"/>
        <v>30058973</v>
      </c>
      <c r="CL108" s="68">
        <f t="shared" si="137"/>
        <v>723539805</v>
      </c>
      <c r="CM108" s="68"/>
      <c r="CN108" s="68">
        <f>SUM(CN93:CN107)</f>
        <v>0</v>
      </c>
      <c r="CO108" s="68">
        <f>SUM(CO93:CO107)</f>
        <v>0</v>
      </c>
      <c r="CP108" s="68">
        <f>SUM(CP93:CP107)</f>
        <v>17025342</v>
      </c>
      <c r="CQ108" s="46">
        <f t="shared" si="122"/>
        <v>0.23446877344704309</v>
      </c>
      <c r="CR108" s="68">
        <f t="shared" ref="CR108:DL108" si="138">SUM(CR93:CR107)</f>
        <v>591884879</v>
      </c>
      <c r="CS108" s="68">
        <f t="shared" si="138"/>
        <v>0</v>
      </c>
      <c r="CT108" s="68">
        <f t="shared" si="138"/>
        <v>7591857</v>
      </c>
      <c r="CU108" s="68">
        <f t="shared" si="138"/>
        <v>0</v>
      </c>
      <c r="CV108" s="68">
        <f t="shared" si="138"/>
        <v>0</v>
      </c>
      <c r="CW108" s="68">
        <f t="shared" si="138"/>
        <v>0</v>
      </c>
      <c r="CX108" s="68">
        <f t="shared" si="138"/>
        <v>0</v>
      </c>
      <c r="CY108" s="68">
        <f t="shared" si="138"/>
        <v>0</v>
      </c>
      <c r="CZ108" s="68">
        <f t="shared" si="138"/>
        <v>0</v>
      </c>
      <c r="DA108" s="68">
        <f t="shared" si="138"/>
        <v>0</v>
      </c>
      <c r="DB108" s="68">
        <f t="shared" si="138"/>
        <v>0</v>
      </c>
      <c r="DC108" s="68">
        <f t="shared" si="138"/>
        <v>0</v>
      </c>
      <c r="DD108" s="68">
        <f t="shared" si="138"/>
        <v>0</v>
      </c>
      <c r="DE108" s="68">
        <f t="shared" si="138"/>
        <v>0</v>
      </c>
      <c r="DF108" s="68">
        <f t="shared" si="138"/>
        <v>0</v>
      </c>
      <c r="DG108" s="68">
        <f t="shared" si="138"/>
        <v>19941027</v>
      </c>
      <c r="DH108" s="68">
        <f t="shared" si="138"/>
        <v>539011852</v>
      </c>
      <c r="DI108" s="68">
        <f t="shared" si="138"/>
        <v>0</v>
      </c>
      <c r="DJ108" s="68">
        <f t="shared" si="138"/>
        <v>0</v>
      </c>
      <c r="DK108" s="68">
        <f t="shared" si="138"/>
        <v>0</v>
      </c>
      <c r="DL108" s="97">
        <f t="shared" si="138"/>
        <v>25340143</v>
      </c>
      <c r="DN108" s="33">
        <f t="shared" si="89"/>
        <v>2524365485</v>
      </c>
      <c r="DO108" s="33">
        <f t="shared" si="90"/>
        <v>2524365485</v>
      </c>
      <c r="DP108" s="33">
        <f t="shared" si="91"/>
        <v>2524365485</v>
      </c>
    </row>
    <row r="109" spans="1:120" ht="51" customHeight="1" thickTop="1" x14ac:dyDescent="0.25">
      <c r="A109" s="239" t="s">
        <v>299</v>
      </c>
      <c r="B109" s="235" t="s">
        <v>300</v>
      </c>
      <c r="C109" s="75" t="s">
        <v>301</v>
      </c>
      <c r="D109" s="24" t="s">
        <v>302</v>
      </c>
      <c r="E109" s="98">
        <v>111</v>
      </c>
      <c r="F109" s="26" t="s">
        <v>303</v>
      </c>
      <c r="G109" s="27">
        <f>SUM(H109:AA109)</f>
        <v>2847721350</v>
      </c>
      <c r="H109" s="27"/>
      <c r="I109" s="27"/>
      <c r="J109" s="27">
        <f>2264025000</f>
        <v>2264025000</v>
      </c>
      <c r="K109" s="27">
        <f>72450095</f>
        <v>72450095</v>
      </c>
      <c r="L109" s="27"/>
      <c r="M109" s="27"/>
      <c r="N109" s="27">
        <f>54387</f>
        <v>54387</v>
      </c>
      <c r="O109" s="27">
        <f>30665828</f>
        <v>30665828</v>
      </c>
      <c r="P109" s="27">
        <f>1940856</f>
        <v>1940856</v>
      </c>
      <c r="Q109" s="27"/>
      <c r="R109" s="61">
        <f>60000000+100000000</f>
        <v>160000000</v>
      </c>
      <c r="S109" s="27"/>
      <c r="T109" s="27"/>
      <c r="U109" s="27"/>
      <c r="V109" s="27"/>
      <c r="W109" s="27"/>
      <c r="X109" s="27"/>
      <c r="Y109" s="27"/>
      <c r="Z109" s="27"/>
      <c r="AA109" s="27">
        <f>28000000+784585184-485000000-9000000</f>
        <v>318585184</v>
      </c>
      <c r="AB109" s="99"/>
      <c r="AC109" s="29">
        <f t="shared" si="111"/>
        <v>0.44417958133438862</v>
      </c>
      <c r="AD109" s="27">
        <f t="shared" ref="AD109:AD127" si="139">SUM(AE109:AX109)</f>
        <v>1264899677</v>
      </c>
      <c r="AE109" s="27"/>
      <c r="AF109" s="27"/>
      <c r="AG109" s="27">
        <f>+'[3]MAYO 2016'!$M$18</f>
        <v>1264899677</v>
      </c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9">
        <f t="shared" si="113"/>
        <v>0.55582041866561138</v>
      </c>
      <c r="AZ109" s="27">
        <f t="shared" ref="AZ109:AZ127" si="140">SUM(BA109:BT109)</f>
        <v>1582821673</v>
      </c>
      <c r="BA109" s="27">
        <f t="shared" ref="BA109:BA120" si="141">+H109</f>
        <v>0</v>
      </c>
      <c r="BB109" s="27">
        <f t="shared" ref="BB109:BP120" si="142">I109-AF109</f>
        <v>0</v>
      </c>
      <c r="BC109" s="27">
        <f t="shared" si="142"/>
        <v>999125323</v>
      </c>
      <c r="BD109" s="27">
        <f t="shared" si="142"/>
        <v>72450095</v>
      </c>
      <c r="BE109" s="27">
        <f t="shared" ref="BE109:BP119" si="143">+L109-AI109</f>
        <v>0</v>
      </c>
      <c r="BF109" s="27">
        <f t="shared" si="143"/>
        <v>0</v>
      </c>
      <c r="BG109" s="27">
        <f t="shared" si="143"/>
        <v>54387</v>
      </c>
      <c r="BH109" s="27">
        <f t="shared" si="143"/>
        <v>30665828</v>
      </c>
      <c r="BI109" s="27">
        <f t="shared" si="143"/>
        <v>1940856</v>
      </c>
      <c r="BJ109" s="27">
        <f t="shared" si="143"/>
        <v>0</v>
      </c>
      <c r="BK109" s="27">
        <f t="shared" si="143"/>
        <v>160000000</v>
      </c>
      <c r="BL109" s="27">
        <f t="shared" si="143"/>
        <v>0</v>
      </c>
      <c r="BM109" s="27">
        <f t="shared" si="143"/>
        <v>0</v>
      </c>
      <c r="BN109" s="27">
        <f t="shared" si="143"/>
        <v>0</v>
      </c>
      <c r="BO109" s="27">
        <f t="shared" si="143"/>
        <v>0</v>
      </c>
      <c r="BP109" s="27">
        <f t="shared" si="143"/>
        <v>0</v>
      </c>
      <c r="BQ109" s="27"/>
      <c r="BR109" s="27"/>
      <c r="BS109" s="27">
        <f t="shared" ref="BS109:BS120" si="144">Z109-AW109</f>
        <v>0</v>
      </c>
      <c r="BT109" s="27">
        <f t="shared" ref="BT109:BT119" si="145">+AA109-AX109</f>
        <v>318585184</v>
      </c>
      <c r="BU109" s="29">
        <f t="shared" si="120"/>
        <v>6.7201587332271814E-2</v>
      </c>
      <c r="BV109" s="27">
        <f t="shared" ref="BV109:BV127" si="146">SUM(BW109:CP109)</f>
        <v>191371395</v>
      </c>
      <c r="BW109" s="27"/>
      <c r="BX109" s="27"/>
      <c r="BY109" s="27">
        <f>+'[2]MARZO 2016 ULTIMO'!$H$16</f>
        <v>191371395</v>
      </c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9">
        <f t="shared" si="122"/>
        <v>0.93279841266772823</v>
      </c>
      <c r="CR109" s="27">
        <f t="shared" ref="CR109:CR127" si="147">SUM(CS109:DL109)</f>
        <v>2656349955</v>
      </c>
      <c r="CS109" s="27">
        <f t="shared" ref="CS109:CY120" si="148">H109-BW109</f>
        <v>0</v>
      </c>
      <c r="CT109" s="27">
        <f t="shared" si="148"/>
        <v>0</v>
      </c>
      <c r="CU109" s="27">
        <f t="shared" si="148"/>
        <v>2072653605</v>
      </c>
      <c r="CV109" s="27">
        <f t="shared" si="148"/>
        <v>72450095</v>
      </c>
      <c r="CW109" s="27">
        <f t="shared" si="148"/>
        <v>0</v>
      </c>
      <c r="CX109" s="27">
        <f t="shared" si="148"/>
        <v>0</v>
      </c>
      <c r="CY109" s="27">
        <f t="shared" si="148"/>
        <v>54387</v>
      </c>
      <c r="CZ109" s="27">
        <f t="shared" ref="CZ109:DB119" si="149">+O109-CD109</f>
        <v>30665828</v>
      </c>
      <c r="DA109" s="27">
        <f t="shared" si="149"/>
        <v>1940856</v>
      </c>
      <c r="DB109" s="27">
        <f t="shared" si="149"/>
        <v>0</v>
      </c>
      <c r="DC109" s="27">
        <f t="shared" ref="DC109:DE120" si="150">R109-CG109</f>
        <v>160000000</v>
      </c>
      <c r="DD109" s="27">
        <f t="shared" si="150"/>
        <v>0</v>
      </c>
      <c r="DE109" s="27">
        <f t="shared" si="150"/>
        <v>0</v>
      </c>
      <c r="DF109" s="27">
        <f t="shared" ref="DF109:DH119" si="151">+U109-CJ109</f>
        <v>0</v>
      </c>
      <c r="DG109" s="27">
        <f t="shared" si="151"/>
        <v>0</v>
      </c>
      <c r="DH109" s="27">
        <f t="shared" si="151"/>
        <v>0</v>
      </c>
      <c r="DI109" s="27"/>
      <c r="DJ109" s="27">
        <f t="shared" ref="DJ109:DL119" si="152">+Y109-CN109</f>
        <v>0</v>
      </c>
      <c r="DK109" s="27">
        <f t="shared" si="152"/>
        <v>0</v>
      </c>
      <c r="DL109" s="27">
        <f t="shared" si="152"/>
        <v>318585184</v>
      </c>
      <c r="DN109" s="33">
        <f t="shared" si="89"/>
        <v>2847721350</v>
      </c>
      <c r="DO109" s="33">
        <f t="shared" si="90"/>
        <v>2847721350</v>
      </c>
      <c r="DP109" s="33">
        <f t="shared" si="91"/>
        <v>2847721350</v>
      </c>
    </row>
    <row r="110" spans="1:120" s="64" customFormat="1" ht="30" customHeight="1" x14ac:dyDescent="0.25">
      <c r="A110" s="236"/>
      <c r="B110" s="230"/>
      <c r="C110" s="62" t="s">
        <v>304</v>
      </c>
      <c r="D110" s="24" t="s">
        <v>305</v>
      </c>
      <c r="E110" s="96">
        <v>111</v>
      </c>
      <c r="F110" s="26" t="s">
        <v>306</v>
      </c>
      <c r="G110" s="27">
        <f t="shared" ref="G110:G127" si="153">SUM(H110:AA110)</f>
        <v>1088479836</v>
      </c>
      <c r="H110" s="61"/>
      <c r="I110" s="61"/>
      <c r="J110" s="61">
        <v>982978733</v>
      </c>
      <c r="K110" s="61">
        <v>39062301</v>
      </c>
      <c r="L110" s="61"/>
      <c r="M110" s="61"/>
      <c r="N110" s="61"/>
      <c r="O110" s="61"/>
      <c r="P110" s="61"/>
      <c r="Q110" s="61">
        <f>3438802</f>
        <v>3438802</v>
      </c>
      <c r="R110" s="61">
        <f>50000000</f>
        <v>50000000</v>
      </c>
      <c r="S110" s="61"/>
      <c r="T110" s="61"/>
      <c r="U110" s="61"/>
      <c r="V110" s="61"/>
      <c r="W110" s="61"/>
      <c r="X110" s="61"/>
      <c r="Y110" s="61"/>
      <c r="Z110" s="61"/>
      <c r="AA110" s="61">
        <f>12000000+1000000</f>
        <v>13000000</v>
      </c>
      <c r="AB110" s="100"/>
      <c r="AC110" s="65">
        <f t="shared" si="111"/>
        <v>0.71856580079081966</v>
      </c>
      <c r="AD110" s="27">
        <f t="shared" si="139"/>
        <v>782144385</v>
      </c>
      <c r="AE110" s="61"/>
      <c r="AF110" s="61"/>
      <c r="AG110" s="61">
        <f>+'[1]JUNIO 2016'!$M$31</f>
        <v>690623210</v>
      </c>
      <c r="AH110" s="61">
        <f>+'[1]JUNIO 2016'!$N$31</f>
        <v>32964600</v>
      </c>
      <c r="AI110" s="61"/>
      <c r="AJ110" s="61"/>
      <c r="AK110" s="61"/>
      <c r="AL110" s="61"/>
      <c r="AM110" s="61"/>
      <c r="AN110" s="61"/>
      <c r="AO110" s="27">
        <f>+'[3]MAYO 2016'!$U$31</f>
        <v>49856575</v>
      </c>
      <c r="AP110" s="61"/>
      <c r="AQ110" s="61"/>
      <c r="AR110" s="61"/>
      <c r="AS110" s="61"/>
      <c r="AT110" s="61"/>
      <c r="AU110" s="61"/>
      <c r="AV110" s="61"/>
      <c r="AW110" s="61"/>
      <c r="AX110" s="61">
        <f>+'[1]JUNIO 2016'!$AG$31</f>
        <v>8700000</v>
      </c>
      <c r="AY110" s="65">
        <f t="shared" si="113"/>
        <v>0.28143419920918034</v>
      </c>
      <c r="AZ110" s="27">
        <f t="shared" si="140"/>
        <v>306335451</v>
      </c>
      <c r="BA110" s="27">
        <f t="shared" si="141"/>
        <v>0</v>
      </c>
      <c r="BB110" s="61">
        <f t="shared" si="142"/>
        <v>0</v>
      </c>
      <c r="BC110" s="61">
        <f t="shared" si="142"/>
        <v>292355523</v>
      </c>
      <c r="BD110" s="61">
        <f t="shared" si="142"/>
        <v>6097701</v>
      </c>
      <c r="BE110" s="61">
        <f t="shared" si="143"/>
        <v>0</v>
      </c>
      <c r="BF110" s="61">
        <f t="shared" si="143"/>
        <v>0</v>
      </c>
      <c r="BG110" s="27">
        <f t="shared" si="143"/>
        <v>0</v>
      </c>
      <c r="BH110" s="61">
        <f t="shared" si="143"/>
        <v>0</v>
      </c>
      <c r="BI110" s="61">
        <f t="shared" si="143"/>
        <v>0</v>
      </c>
      <c r="BJ110" s="61">
        <f t="shared" si="143"/>
        <v>3438802</v>
      </c>
      <c r="BK110" s="61">
        <f t="shared" si="143"/>
        <v>143425</v>
      </c>
      <c r="BL110" s="61">
        <f t="shared" si="143"/>
        <v>0</v>
      </c>
      <c r="BM110" s="61">
        <f t="shared" si="143"/>
        <v>0</v>
      </c>
      <c r="BN110" s="61">
        <f t="shared" si="143"/>
        <v>0</v>
      </c>
      <c r="BO110" s="61">
        <f t="shared" si="143"/>
        <v>0</v>
      </c>
      <c r="BP110" s="61">
        <f t="shared" si="143"/>
        <v>0</v>
      </c>
      <c r="BQ110" s="61"/>
      <c r="BR110" s="61"/>
      <c r="BS110" s="27">
        <f t="shared" si="144"/>
        <v>0</v>
      </c>
      <c r="BT110" s="61">
        <f t="shared" si="145"/>
        <v>4300000</v>
      </c>
      <c r="BU110" s="65">
        <f t="shared" si="120"/>
        <v>0.52104670407509501</v>
      </c>
      <c r="BV110" s="27">
        <f t="shared" si="146"/>
        <v>567148831</v>
      </c>
      <c r="BW110" s="61"/>
      <c r="BX110" s="61"/>
      <c r="BY110" s="61">
        <f>+'[1]JUNIO 2016'!$H$33+'[1]JUNIO 2016'!$H$36+'[1]JUNIO 2016'!$H$38+'[1]JUNIO 2016'!$H$41+'[1]JUNIO 2016'!$H$43+'[1]JUNIO 2016'!$H$48+'[1]JUNIO 2016'!$H$50+'[1]JUNIO 2016'!$H$54</f>
        <v>483851956</v>
      </c>
      <c r="BZ110" s="61">
        <f>+'[1]JUNIO 2016'!$H$56</f>
        <v>30710300</v>
      </c>
      <c r="CA110" s="61"/>
      <c r="CB110" s="61"/>
      <c r="CC110" s="61"/>
      <c r="CD110" s="61"/>
      <c r="CE110" s="61"/>
      <c r="CF110" s="61"/>
      <c r="CG110" s="61">
        <f>+'[4]ABRIL 2016'!$H$34</f>
        <v>49856575</v>
      </c>
      <c r="CH110" s="61"/>
      <c r="CI110" s="61"/>
      <c r="CJ110" s="61"/>
      <c r="CK110" s="61"/>
      <c r="CL110" s="61"/>
      <c r="CM110" s="61"/>
      <c r="CN110" s="61"/>
      <c r="CO110" s="61"/>
      <c r="CP110" s="61">
        <f>+'[1]JUNIO 2016'!$H$53+'[1]JUNIO 2016'!$H$58</f>
        <v>2730000</v>
      </c>
      <c r="CQ110" s="65">
        <f t="shared" si="122"/>
        <v>0.47895329592490499</v>
      </c>
      <c r="CR110" s="27">
        <f t="shared" si="147"/>
        <v>521331005</v>
      </c>
      <c r="CS110" s="27">
        <f t="shared" si="148"/>
        <v>0</v>
      </c>
      <c r="CT110" s="27">
        <f t="shared" si="148"/>
        <v>0</v>
      </c>
      <c r="CU110" s="61">
        <f t="shared" si="148"/>
        <v>499126777</v>
      </c>
      <c r="CV110" s="61">
        <f t="shared" si="148"/>
        <v>8352001</v>
      </c>
      <c r="CW110" s="61">
        <f t="shared" si="148"/>
        <v>0</v>
      </c>
      <c r="CX110" s="61">
        <f t="shared" si="148"/>
        <v>0</v>
      </c>
      <c r="CY110" s="27">
        <f t="shared" si="148"/>
        <v>0</v>
      </c>
      <c r="CZ110" s="61">
        <f t="shared" si="149"/>
        <v>0</v>
      </c>
      <c r="DA110" s="61">
        <f t="shared" si="149"/>
        <v>0</v>
      </c>
      <c r="DB110" s="27">
        <f t="shared" si="149"/>
        <v>3438802</v>
      </c>
      <c r="DC110" s="61">
        <f t="shared" si="150"/>
        <v>143425</v>
      </c>
      <c r="DD110" s="61">
        <f t="shared" si="150"/>
        <v>0</v>
      </c>
      <c r="DE110" s="61">
        <f t="shared" si="150"/>
        <v>0</v>
      </c>
      <c r="DF110" s="61">
        <f t="shared" si="151"/>
        <v>0</v>
      </c>
      <c r="DG110" s="61">
        <f t="shared" si="151"/>
        <v>0</v>
      </c>
      <c r="DH110" s="61">
        <f t="shared" si="151"/>
        <v>0</v>
      </c>
      <c r="DI110" s="61"/>
      <c r="DJ110" s="61">
        <f t="shared" si="152"/>
        <v>0</v>
      </c>
      <c r="DK110" s="27">
        <f t="shared" si="152"/>
        <v>0</v>
      </c>
      <c r="DL110" s="61">
        <f t="shared" si="152"/>
        <v>10270000</v>
      </c>
      <c r="DN110" s="33">
        <f t="shared" si="89"/>
        <v>1088479836</v>
      </c>
      <c r="DO110" s="33">
        <f t="shared" si="90"/>
        <v>1088479836</v>
      </c>
      <c r="DP110" s="33">
        <f t="shared" si="91"/>
        <v>1088479836</v>
      </c>
    </row>
    <row r="111" spans="1:120" ht="23.25" customHeight="1" x14ac:dyDescent="0.25">
      <c r="A111" s="236"/>
      <c r="B111" s="231"/>
      <c r="C111" s="75" t="s">
        <v>307</v>
      </c>
      <c r="D111" s="24" t="s">
        <v>308</v>
      </c>
      <c r="E111" s="98">
        <v>111</v>
      </c>
      <c r="F111" s="26" t="s">
        <v>309</v>
      </c>
      <c r="G111" s="27">
        <f t="shared" si="153"/>
        <v>100000000</v>
      </c>
      <c r="H111" s="27"/>
      <c r="I111" s="27"/>
      <c r="J111" s="27"/>
      <c r="K111" s="27">
        <v>59490931</v>
      </c>
      <c r="L111" s="27"/>
      <c r="M111" s="27"/>
      <c r="N111" s="27"/>
      <c r="O111" s="27"/>
      <c r="P111" s="27"/>
      <c r="Q111" s="27"/>
      <c r="R111" s="61">
        <f>140509069-100000000</f>
        <v>40509069</v>
      </c>
      <c r="S111" s="27"/>
      <c r="T111" s="27"/>
      <c r="U111" s="27"/>
      <c r="V111" s="27"/>
      <c r="W111" s="27"/>
      <c r="X111" s="27"/>
      <c r="Y111" s="27"/>
      <c r="Z111" s="27"/>
      <c r="AA111" s="27"/>
      <c r="AB111" s="99"/>
      <c r="AC111" s="29">
        <f t="shared" si="111"/>
        <v>0.49256</v>
      </c>
      <c r="AD111" s="27">
        <f t="shared" si="139"/>
        <v>49256000</v>
      </c>
      <c r="AE111" s="27"/>
      <c r="AF111" s="27"/>
      <c r="AG111" s="27"/>
      <c r="AH111" s="27">
        <f>+'[3]MAYO 2016'!$N$58</f>
        <v>19256000</v>
      </c>
      <c r="AI111" s="27"/>
      <c r="AJ111" s="27"/>
      <c r="AK111" s="27"/>
      <c r="AL111" s="27"/>
      <c r="AM111" s="27"/>
      <c r="AN111" s="27"/>
      <c r="AO111" s="27">
        <f>+'[4]ABRIL 2016'!$U$50</f>
        <v>30000000</v>
      </c>
      <c r="AP111" s="27"/>
      <c r="AQ111" s="27"/>
      <c r="AR111" s="27"/>
      <c r="AS111" s="27"/>
      <c r="AT111" s="27"/>
      <c r="AU111" s="27"/>
      <c r="AV111" s="27"/>
      <c r="AW111" s="27"/>
      <c r="AX111" s="27"/>
      <c r="AY111" s="29">
        <f t="shared" si="113"/>
        <v>0.50744</v>
      </c>
      <c r="AZ111" s="27">
        <f t="shared" si="140"/>
        <v>50744000</v>
      </c>
      <c r="BA111" s="27">
        <f t="shared" si="141"/>
        <v>0</v>
      </c>
      <c r="BB111" s="27">
        <f t="shared" si="142"/>
        <v>0</v>
      </c>
      <c r="BC111" s="27">
        <f t="shared" si="142"/>
        <v>0</v>
      </c>
      <c r="BD111" s="27">
        <f t="shared" si="142"/>
        <v>40234931</v>
      </c>
      <c r="BE111" s="27">
        <f t="shared" si="143"/>
        <v>0</v>
      </c>
      <c r="BF111" s="27">
        <f t="shared" si="143"/>
        <v>0</v>
      </c>
      <c r="BG111" s="27">
        <f t="shared" si="143"/>
        <v>0</v>
      </c>
      <c r="BH111" s="27">
        <f t="shared" si="143"/>
        <v>0</v>
      </c>
      <c r="BI111" s="27">
        <f t="shared" si="143"/>
        <v>0</v>
      </c>
      <c r="BJ111" s="27">
        <f t="shared" si="143"/>
        <v>0</v>
      </c>
      <c r="BK111" s="27">
        <f t="shared" si="143"/>
        <v>10509069</v>
      </c>
      <c r="BL111" s="27">
        <f t="shared" si="143"/>
        <v>0</v>
      </c>
      <c r="BM111" s="27">
        <f t="shared" si="143"/>
        <v>0</v>
      </c>
      <c r="BN111" s="27">
        <f t="shared" si="143"/>
        <v>0</v>
      </c>
      <c r="BO111" s="27">
        <f t="shared" si="143"/>
        <v>0</v>
      </c>
      <c r="BP111" s="27">
        <f t="shared" si="143"/>
        <v>0</v>
      </c>
      <c r="BQ111" s="27"/>
      <c r="BR111" s="27"/>
      <c r="BS111" s="27">
        <f t="shared" si="144"/>
        <v>0</v>
      </c>
      <c r="BT111" s="27">
        <f t="shared" si="145"/>
        <v>0</v>
      </c>
      <c r="BU111" s="29">
        <f t="shared" si="120"/>
        <v>0.44638040000000001</v>
      </c>
      <c r="BV111" s="27">
        <f t="shared" si="146"/>
        <v>44638040</v>
      </c>
      <c r="BW111" s="27"/>
      <c r="BX111" s="27"/>
      <c r="BY111" s="27"/>
      <c r="BZ111" s="27">
        <f>+'[1]JUNIO 2016'!$H$67+'[1]JUNIO 2016'!$H$70</f>
        <v>14638040</v>
      </c>
      <c r="CA111" s="27"/>
      <c r="CB111" s="27"/>
      <c r="CC111" s="27"/>
      <c r="CD111" s="27"/>
      <c r="CE111" s="27"/>
      <c r="CF111" s="27"/>
      <c r="CG111" s="27">
        <f>+'[3]MAYO 2016'!$H$62</f>
        <v>30000000</v>
      </c>
      <c r="CH111" s="27"/>
      <c r="CI111" s="27"/>
      <c r="CJ111" s="27"/>
      <c r="CK111" s="27"/>
      <c r="CL111" s="27"/>
      <c r="CM111" s="27"/>
      <c r="CN111" s="27"/>
      <c r="CO111" s="27"/>
      <c r="CP111" s="27"/>
      <c r="CQ111" s="29">
        <f t="shared" si="122"/>
        <v>0.55361959999999999</v>
      </c>
      <c r="CR111" s="27">
        <f t="shared" si="147"/>
        <v>55361960</v>
      </c>
      <c r="CS111" s="27">
        <f t="shared" si="148"/>
        <v>0</v>
      </c>
      <c r="CT111" s="27">
        <f t="shared" si="148"/>
        <v>0</v>
      </c>
      <c r="CU111" s="27">
        <f t="shared" si="148"/>
        <v>0</v>
      </c>
      <c r="CV111" s="27">
        <f t="shared" si="148"/>
        <v>44852891</v>
      </c>
      <c r="CW111" s="27">
        <f t="shared" si="148"/>
        <v>0</v>
      </c>
      <c r="CX111" s="27">
        <f t="shared" si="148"/>
        <v>0</v>
      </c>
      <c r="CY111" s="27">
        <f t="shared" si="148"/>
        <v>0</v>
      </c>
      <c r="CZ111" s="27">
        <f t="shared" si="149"/>
        <v>0</v>
      </c>
      <c r="DA111" s="27">
        <f t="shared" si="149"/>
        <v>0</v>
      </c>
      <c r="DB111" s="27">
        <f t="shared" si="149"/>
        <v>0</v>
      </c>
      <c r="DC111" s="27">
        <f t="shared" si="150"/>
        <v>10509069</v>
      </c>
      <c r="DD111" s="27">
        <f t="shared" si="150"/>
        <v>0</v>
      </c>
      <c r="DE111" s="27">
        <f t="shared" si="150"/>
        <v>0</v>
      </c>
      <c r="DF111" s="27">
        <f t="shared" si="151"/>
        <v>0</v>
      </c>
      <c r="DG111" s="27">
        <f t="shared" si="151"/>
        <v>0</v>
      </c>
      <c r="DH111" s="27">
        <f t="shared" si="151"/>
        <v>0</v>
      </c>
      <c r="DI111" s="27"/>
      <c r="DJ111" s="27">
        <f t="shared" si="152"/>
        <v>0</v>
      </c>
      <c r="DK111" s="27">
        <f t="shared" si="152"/>
        <v>0</v>
      </c>
      <c r="DL111" s="27">
        <f t="shared" si="152"/>
        <v>0</v>
      </c>
      <c r="DM111" s="50"/>
      <c r="DN111" s="33">
        <f t="shared" si="89"/>
        <v>100000000</v>
      </c>
      <c r="DO111" s="33">
        <f t="shared" si="90"/>
        <v>100000000</v>
      </c>
      <c r="DP111" s="33">
        <f t="shared" si="91"/>
        <v>100000000</v>
      </c>
    </row>
    <row r="112" spans="1:120" ht="33.75" customHeight="1" x14ac:dyDescent="0.25">
      <c r="A112" s="236"/>
      <c r="B112" s="229" t="s">
        <v>310</v>
      </c>
      <c r="C112" s="75" t="s">
        <v>311</v>
      </c>
      <c r="D112" s="24" t="s">
        <v>312</v>
      </c>
      <c r="E112" s="98">
        <v>211</v>
      </c>
      <c r="F112" s="26" t="s">
        <v>306</v>
      </c>
      <c r="G112" s="27">
        <f t="shared" si="153"/>
        <v>2379879497</v>
      </c>
      <c r="H112" s="27"/>
      <c r="I112" s="27"/>
      <c r="J112" s="27">
        <v>2300000000</v>
      </c>
      <c r="K112" s="27"/>
      <c r="L112" s="27"/>
      <c r="M112" s="27"/>
      <c r="N112" s="27"/>
      <c r="O112" s="27"/>
      <c r="P112" s="27"/>
      <c r="Q112" s="27"/>
      <c r="R112" s="27">
        <f>70000000</f>
        <v>70000000</v>
      </c>
      <c r="S112" s="27"/>
      <c r="T112" s="27"/>
      <c r="U112" s="27"/>
      <c r="V112" s="27"/>
      <c r="W112" s="27"/>
      <c r="X112" s="27"/>
      <c r="Y112" s="27"/>
      <c r="Z112" s="27"/>
      <c r="AA112" s="27">
        <f>9879497</f>
        <v>9879497</v>
      </c>
      <c r="AC112" s="29">
        <f t="shared" si="111"/>
        <v>0.40521067441256248</v>
      </c>
      <c r="AD112" s="27">
        <f t="shared" si="139"/>
        <v>964352576</v>
      </c>
      <c r="AE112" s="27"/>
      <c r="AF112" s="27"/>
      <c r="AG112" s="27">
        <f>+'[3]MAYO 2016'!$M$75</f>
        <v>884486456</v>
      </c>
      <c r="AH112" s="27"/>
      <c r="AI112" s="27"/>
      <c r="AJ112" s="27"/>
      <c r="AK112" s="27"/>
      <c r="AL112" s="27"/>
      <c r="AM112" s="27"/>
      <c r="AN112" s="27"/>
      <c r="AO112" s="27">
        <f>+'[3]MAYO 2016'!$U$75</f>
        <v>70000000</v>
      </c>
      <c r="AP112" s="27"/>
      <c r="AQ112" s="27"/>
      <c r="AR112" s="27"/>
      <c r="AS112" s="27"/>
      <c r="AT112" s="27"/>
      <c r="AU112" s="27"/>
      <c r="AV112" s="27"/>
      <c r="AW112" s="27"/>
      <c r="AX112" s="27">
        <f>+'[3]MAYO 2016'!$AG$75</f>
        <v>9866120</v>
      </c>
      <c r="AY112" s="29">
        <f t="shared" si="113"/>
        <v>0.59478932558743747</v>
      </c>
      <c r="AZ112" s="27">
        <f t="shared" si="140"/>
        <v>1415526921</v>
      </c>
      <c r="BA112" s="27">
        <f t="shared" si="141"/>
        <v>0</v>
      </c>
      <c r="BB112" s="27">
        <f t="shared" si="142"/>
        <v>0</v>
      </c>
      <c r="BC112" s="27">
        <f t="shared" si="142"/>
        <v>1415513544</v>
      </c>
      <c r="BD112" s="27">
        <f t="shared" si="142"/>
        <v>0</v>
      </c>
      <c r="BE112" s="27">
        <f t="shared" si="143"/>
        <v>0</v>
      </c>
      <c r="BF112" s="27">
        <f t="shared" si="143"/>
        <v>0</v>
      </c>
      <c r="BG112" s="27">
        <f t="shared" si="143"/>
        <v>0</v>
      </c>
      <c r="BH112" s="27">
        <f t="shared" si="143"/>
        <v>0</v>
      </c>
      <c r="BI112" s="27">
        <f t="shared" si="143"/>
        <v>0</v>
      </c>
      <c r="BJ112" s="27">
        <f t="shared" si="143"/>
        <v>0</v>
      </c>
      <c r="BK112" s="27">
        <f t="shared" si="143"/>
        <v>0</v>
      </c>
      <c r="BL112" s="27">
        <f t="shared" si="143"/>
        <v>0</v>
      </c>
      <c r="BM112" s="27">
        <f t="shared" si="143"/>
        <v>0</v>
      </c>
      <c r="BN112" s="27">
        <f t="shared" si="143"/>
        <v>0</v>
      </c>
      <c r="BO112" s="27">
        <f t="shared" si="143"/>
        <v>0</v>
      </c>
      <c r="BP112" s="27">
        <f t="shared" si="143"/>
        <v>0</v>
      </c>
      <c r="BQ112" s="27"/>
      <c r="BR112" s="27"/>
      <c r="BS112" s="27">
        <f t="shared" si="144"/>
        <v>0</v>
      </c>
      <c r="BT112" s="27">
        <f t="shared" si="145"/>
        <v>13377</v>
      </c>
      <c r="BU112" s="29">
        <f t="shared" si="120"/>
        <v>0.27830331738851061</v>
      </c>
      <c r="BV112" s="27">
        <f t="shared" si="146"/>
        <v>662328359</v>
      </c>
      <c r="BW112" s="27"/>
      <c r="BX112" s="27"/>
      <c r="BY112" s="27">
        <f>+'[1]JUNIO 2016'!$H$84+'[1]JUNIO 2016'!$H$86+'[1]JUNIO 2016'!$H$90+'[1]JUNIO 2016'!$H$92+'[1]JUNIO 2016'!$H$95+'[1]JUNIO 2016'!$H$96+'[1]JUNIO 2016'!$H$98+'[1]JUNIO 2016'!$H$104+'[1]JUNIO 2016'!$H$108+'[1]JUNIO 2016'!$H$111</f>
        <v>652462239</v>
      </c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>
        <f>+'[3]MAYO 2016'!$H$91</f>
        <v>9866120</v>
      </c>
      <c r="CQ112" s="29">
        <f t="shared" si="122"/>
        <v>0.72169668261148945</v>
      </c>
      <c r="CR112" s="27">
        <f t="shared" si="147"/>
        <v>1717551138</v>
      </c>
      <c r="CS112" s="27">
        <f t="shared" si="148"/>
        <v>0</v>
      </c>
      <c r="CT112" s="27">
        <f t="shared" si="148"/>
        <v>0</v>
      </c>
      <c r="CU112" s="27">
        <f t="shared" si="148"/>
        <v>1647537761</v>
      </c>
      <c r="CV112" s="27">
        <f t="shared" si="148"/>
        <v>0</v>
      </c>
      <c r="CW112" s="27">
        <f t="shared" si="148"/>
        <v>0</v>
      </c>
      <c r="CX112" s="27">
        <f t="shared" si="148"/>
        <v>0</v>
      </c>
      <c r="CY112" s="27">
        <f t="shared" si="148"/>
        <v>0</v>
      </c>
      <c r="CZ112" s="27">
        <f t="shared" si="149"/>
        <v>0</v>
      </c>
      <c r="DA112" s="27">
        <f t="shared" si="149"/>
        <v>0</v>
      </c>
      <c r="DB112" s="27">
        <f t="shared" si="149"/>
        <v>0</v>
      </c>
      <c r="DC112" s="27">
        <f t="shared" si="150"/>
        <v>70000000</v>
      </c>
      <c r="DD112" s="27">
        <f t="shared" si="150"/>
        <v>0</v>
      </c>
      <c r="DE112" s="27">
        <f t="shared" si="150"/>
        <v>0</v>
      </c>
      <c r="DF112" s="27">
        <f t="shared" si="151"/>
        <v>0</v>
      </c>
      <c r="DG112" s="27">
        <f t="shared" si="151"/>
        <v>0</v>
      </c>
      <c r="DH112" s="27">
        <f t="shared" si="151"/>
        <v>0</v>
      </c>
      <c r="DI112" s="27"/>
      <c r="DJ112" s="27">
        <f t="shared" si="152"/>
        <v>0</v>
      </c>
      <c r="DK112" s="27">
        <f t="shared" si="152"/>
        <v>0</v>
      </c>
      <c r="DL112" s="27">
        <f t="shared" si="152"/>
        <v>13377</v>
      </c>
      <c r="DN112" s="33">
        <f t="shared" si="89"/>
        <v>2379879497</v>
      </c>
      <c r="DO112" s="33">
        <f t="shared" si="90"/>
        <v>2379879497</v>
      </c>
      <c r="DP112" s="33">
        <f t="shared" si="91"/>
        <v>2379879497</v>
      </c>
    </row>
    <row r="113" spans="1:120" ht="21.75" customHeight="1" x14ac:dyDescent="0.25">
      <c r="A113" s="236"/>
      <c r="B113" s="230"/>
      <c r="C113" s="75" t="s">
        <v>313</v>
      </c>
      <c r="D113" s="24" t="s">
        <v>314</v>
      </c>
      <c r="E113" s="98">
        <v>211</v>
      </c>
      <c r="F113" s="26" t="s">
        <v>309</v>
      </c>
      <c r="G113" s="27">
        <f t="shared" si="153"/>
        <v>310432388</v>
      </c>
      <c r="H113" s="27"/>
      <c r="I113" s="27"/>
      <c r="J113" s="27">
        <v>170000000</v>
      </c>
      <c r="K113" s="27"/>
      <c r="L113" s="27"/>
      <c r="M113" s="27"/>
      <c r="N113" s="27"/>
      <c r="O113" s="27"/>
      <c r="P113" s="27"/>
      <c r="Q113" s="27"/>
      <c r="R113" s="27">
        <v>10432388</v>
      </c>
      <c r="S113" s="27"/>
      <c r="T113" s="27">
        <v>130000000</v>
      </c>
      <c r="U113" s="27"/>
      <c r="V113" s="27"/>
      <c r="W113" s="27"/>
      <c r="X113" s="27"/>
      <c r="Y113" s="27"/>
      <c r="Z113" s="27"/>
      <c r="AA113" s="27"/>
      <c r="AC113" s="29">
        <f t="shared" si="111"/>
        <v>0.37419701194322547</v>
      </c>
      <c r="AD113" s="27">
        <f t="shared" si="139"/>
        <v>116162872</v>
      </c>
      <c r="AE113" s="27"/>
      <c r="AF113" s="27"/>
      <c r="AG113" s="27">
        <f>+'[1]JUNIO 2016'!$M$115</f>
        <v>116162872</v>
      </c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9">
        <f t="shared" si="113"/>
        <v>0.62580298805677459</v>
      </c>
      <c r="AZ113" s="27">
        <f t="shared" si="140"/>
        <v>194269516</v>
      </c>
      <c r="BA113" s="27">
        <f t="shared" si="141"/>
        <v>0</v>
      </c>
      <c r="BB113" s="27">
        <f t="shared" si="142"/>
        <v>0</v>
      </c>
      <c r="BC113" s="27">
        <f t="shared" si="142"/>
        <v>53837128</v>
      </c>
      <c r="BD113" s="27">
        <f t="shared" si="142"/>
        <v>0</v>
      </c>
      <c r="BE113" s="27">
        <f t="shared" si="143"/>
        <v>0</v>
      </c>
      <c r="BF113" s="27">
        <f t="shared" si="143"/>
        <v>0</v>
      </c>
      <c r="BG113" s="27">
        <f t="shared" si="143"/>
        <v>0</v>
      </c>
      <c r="BH113" s="27">
        <f t="shared" si="143"/>
        <v>0</v>
      </c>
      <c r="BI113" s="27">
        <f t="shared" si="143"/>
        <v>0</v>
      </c>
      <c r="BJ113" s="27">
        <f t="shared" si="143"/>
        <v>0</v>
      </c>
      <c r="BK113" s="27">
        <f t="shared" si="143"/>
        <v>10432388</v>
      </c>
      <c r="BL113" s="27">
        <f t="shared" si="143"/>
        <v>0</v>
      </c>
      <c r="BM113" s="27">
        <f t="shared" si="143"/>
        <v>130000000</v>
      </c>
      <c r="BN113" s="27">
        <f t="shared" si="143"/>
        <v>0</v>
      </c>
      <c r="BO113" s="27">
        <f t="shared" si="143"/>
        <v>0</v>
      </c>
      <c r="BP113" s="27">
        <f t="shared" si="143"/>
        <v>0</v>
      </c>
      <c r="BQ113" s="27"/>
      <c r="BR113" s="27"/>
      <c r="BS113" s="27">
        <f t="shared" si="144"/>
        <v>0</v>
      </c>
      <c r="BT113" s="27">
        <f t="shared" si="145"/>
        <v>0</v>
      </c>
      <c r="BU113" s="29">
        <f t="shared" si="120"/>
        <v>0.21346275247542792</v>
      </c>
      <c r="BV113" s="27">
        <f t="shared" si="146"/>
        <v>66265752</v>
      </c>
      <c r="BW113" s="27"/>
      <c r="BX113" s="27"/>
      <c r="BY113" s="27">
        <f>+'[3]MAYO 2016'!$H$107+'[3]MAYO 2016'!$H$116+'[3]MAYO 2016'!$H$118</f>
        <v>66265752</v>
      </c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9">
        <f t="shared" si="122"/>
        <v>0.7865372475245721</v>
      </c>
      <c r="CR113" s="27">
        <f t="shared" si="147"/>
        <v>244166636</v>
      </c>
      <c r="CS113" s="27">
        <f t="shared" si="148"/>
        <v>0</v>
      </c>
      <c r="CT113" s="27">
        <f t="shared" si="148"/>
        <v>0</v>
      </c>
      <c r="CU113" s="27">
        <f t="shared" si="148"/>
        <v>103734248</v>
      </c>
      <c r="CV113" s="27">
        <f t="shared" si="148"/>
        <v>0</v>
      </c>
      <c r="CW113" s="27">
        <f t="shared" si="148"/>
        <v>0</v>
      </c>
      <c r="CX113" s="27">
        <f t="shared" si="148"/>
        <v>0</v>
      </c>
      <c r="CY113" s="27">
        <f t="shared" si="148"/>
        <v>0</v>
      </c>
      <c r="CZ113" s="27">
        <f t="shared" si="149"/>
        <v>0</v>
      </c>
      <c r="DA113" s="27">
        <f t="shared" si="149"/>
        <v>0</v>
      </c>
      <c r="DB113" s="27">
        <f t="shared" si="149"/>
        <v>0</v>
      </c>
      <c r="DC113" s="27">
        <f t="shared" si="150"/>
        <v>10432388</v>
      </c>
      <c r="DD113" s="27">
        <f t="shared" si="150"/>
        <v>0</v>
      </c>
      <c r="DE113" s="27">
        <f t="shared" si="150"/>
        <v>130000000</v>
      </c>
      <c r="DF113" s="27">
        <f t="shared" si="151"/>
        <v>0</v>
      </c>
      <c r="DG113" s="27">
        <f t="shared" si="151"/>
        <v>0</v>
      </c>
      <c r="DH113" s="27">
        <f t="shared" si="151"/>
        <v>0</v>
      </c>
      <c r="DI113" s="27"/>
      <c r="DJ113" s="27">
        <f t="shared" si="152"/>
        <v>0</v>
      </c>
      <c r="DK113" s="27">
        <f t="shared" si="152"/>
        <v>0</v>
      </c>
      <c r="DL113" s="27">
        <f t="shared" si="152"/>
        <v>0</v>
      </c>
      <c r="DN113" s="33">
        <f t="shared" si="89"/>
        <v>310432388</v>
      </c>
      <c r="DO113" s="33">
        <f t="shared" si="90"/>
        <v>310432388</v>
      </c>
      <c r="DP113" s="33">
        <f t="shared" si="91"/>
        <v>310432388</v>
      </c>
    </row>
    <row r="114" spans="1:120" s="64" customFormat="1" ht="30.75" customHeight="1" x14ac:dyDescent="0.25">
      <c r="A114" s="236"/>
      <c r="B114" s="230"/>
      <c r="C114" s="62" t="s">
        <v>315</v>
      </c>
      <c r="D114" s="24" t="s">
        <v>316</v>
      </c>
      <c r="E114" s="96">
        <v>211</v>
      </c>
      <c r="F114" s="26" t="s">
        <v>317</v>
      </c>
      <c r="G114" s="27">
        <f t="shared" si="153"/>
        <v>459535209</v>
      </c>
      <c r="H114" s="61"/>
      <c r="I114" s="32"/>
      <c r="J114" s="61">
        <v>453535209</v>
      </c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>
        <v>6000000</v>
      </c>
      <c r="AC114" s="65">
        <f t="shared" si="111"/>
        <v>0.39162613979378452</v>
      </c>
      <c r="AD114" s="27">
        <f t="shared" si="139"/>
        <v>179966000</v>
      </c>
      <c r="AE114" s="61"/>
      <c r="AF114" s="61"/>
      <c r="AG114" s="61">
        <f>+'[3]MAYO 2016'!$M$122</f>
        <v>179966000</v>
      </c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5">
        <f t="shared" si="113"/>
        <v>0.60837386020621542</v>
      </c>
      <c r="AZ114" s="27">
        <f t="shared" si="140"/>
        <v>279569209</v>
      </c>
      <c r="BA114" s="27">
        <f t="shared" si="141"/>
        <v>0</v>
      </c>
      <c r="BB114" s="61">
        <f t="shared" si="142"/>
        <v>0</v>
      </c>
      <c r="BC114" s="61">
        <f t="shared" si="142"/>
        <v>273569209</v>
      </c>
      <c r="BD114" s="61">
        <f t="shared" si="142"/>
        <v>0</v>
      </c>
      <c r="BE114" s="61">
        <f t="shared" si="143"/>
        <v>0</v>
      </c>
      <c r="BF114" s="61">
        <f t="shared" si="143"/>
        <v>0</v>
      </c>
      <c r="BG114" s="27">
        <f t="shared" si="143"/>
        <v>0</v>
      </c>
      <c r="BH114" s="61">
        <f t="shared" si="143"/>
        <v>0</v>
      </c>
      <c r="BI114" s="61">
        <f t="shared" si="143"/>
        <v>0</v>
      </c>
      <c r="BJ114" s="61">
        <f t="shared" si="143"/>
        <v>0</v>
      </c>
      <c r="BK114" s="61">
        <f t="shared" si="143"/>
        <v>0</v>
      </c>
      <c r="BL114" s="61">
        <f t="shared" si="143"/>
        <v>0</v>
      </c>
      <c r="BM114" s="61">
        <f t="shared" si="143"/>
        <v>0</v>
      </c>
      <c r="BN114" s="61">
        <f t="shared" si="143"/>
        <v>0</v>
      </c>
      <c r="BO114" s="61">
        <f t="shared" si="143"/>
        <v>0</v>
      </c>
      <c r="BP114" s="61">
        <f t="shared" si="143"/>
        <v>0</v>
      </c>
      <c r="BQ114" s="61"/>
      <c r="BR114" s="61"/>
      <c r="BS114" s="27">
        <f t="shared" si="144"/>
        <v>0</v>
      </c>
      <c r="BT114" s="61">
        <f t="shared" si="145"/>
        <v>6000000</v>
      </c>
      <c r="BU114" s="65">
        <f t="shared" si="120"/>
        <v>0.21797241655970695</v>
      </c>
      <c r="BV114" s="27">
        <f t="shared" si="146"/>
        <v>100166000</v>
      </c>
      <c r="BW114" s="61"/>
      <c r="BX114" s="61"/>
      <c r="BY114" s="61">
        <f>+'[4]ABRIL 2016'!$H$97</f>
        <v>100166000</v>
      </c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5">
        <f t="shared" si="122"/>
        <v>0.78202758344029299</v>
      </c>
      <c r="CR114" s="27">
        <f t="shared" si="147"/>
        <v>359369209</v>
      </c>
      <c r="CS114" s="27">
        <f t="shared" si="148"/>
        <v>0</v>
      </c>
      <c r="CT114" s="27">
        <f t="shared" si="148"/>
        <v>0</v>
      </c>
      <c r="CU114" s="61">
        <f t="shared" si="148"/>
        <v>353369209</v>
      </c>
      <c r="CV114" s="61">
        <f t="shared" si="148"/>
        <v>0</v>
      </c>
      <c r="CW114" s="61">
        <f t="shared" si="148"/>
        <v>0</v>
      </c>
      <c r="CX114" s="61">
        <f t="shared" si="148"/>
        <v>0</v>
      </c>
      <c r="CY114" s="27">
        <f t="shared" si="148"/>
        <v>0</v>
      </c>
      <c r="CZ114" s="61">
        <f t="shared" si="149"/>
        <v>0</v>
      </c>
      <c r="DA114" s="61">
        <f t="shared" si="149"/>
        <v>0</v>
      </c>
      <c r="DB114" s="27">
        <f t="shared" si="149"/>
        <v>0</v>
      </c>
      <c r="DC114" s="61">
        <f t="shared" si="150"/>
        <v>0</v>
      </c>
      <c r="DD114" s="61">
        <f t="shared" si="150"/>
        <v>0</v>
      </c>
      <c r="DE114" s="61">
        <f t="shared" si="150"/>
        <v>0</v>
      </c>
      <c r="DF114" s="61">
        <f t="shared" si="151"/>
        <v>0</v>
      </c>
      <c r="DG114" s="61">
        <f t="shared" si="151"/>
        <v>0</v>
      </c>
      <c r="DH114" s="61">
        <f t="shared" si="151"/>
        <v>0</v>
      </c>
      <c r="DI114" s="61"/>
      <c r="DJ114" s="61">
        <f t="shared" si="152"/>
        <v>0</v>
      </c>
      <c r="DK114" s="61">
        <f t="shared" si="152"/>
        <v>0</v>
      </c>
      <c r="DL114" s="61">
        <f t="shared" si="152"/>
        <v>6000000</v>
      </c>
      <c r="DN114" s="33">
        <f t="shared" si="89"/>
        <v>459535209</v>
      </c>
      <c r="DO114" s="33">
        <f t="shared" si="90"/>
        <v>459535209</v>
      </c>
      <c r="DP114" s="33">
        <f t="shared" si="91"/>
        <v>459535209</v>
      </c>
    </row>
    <row r="115" spans="1:120" ht="83.25" customHeight="1" x14ac:dyDescent="0.25">
      <c r="A115" s="236"/>
      <c r="B115" s="230"/>
      <c r="C115" s="75" t="s">
        <v>318</v>
      </c>
      <c r="D115" s="24" t="s">
        <v>319</v>
      </c>
      <c r="E115" s="98">
        <v>211</v>
      </c>
      <c r="F115" s="26" t="s">
        <v>320</v>
      </c>
      <c r="G115" s="27">
        <f t="shared" si="153"/>
        <v>433607498</v>
      </c>
      <c r="H115" s="27"/>
      <c r="I115" s="39"/>
      <c r="J115" s="27">
        <v>300000000</v>
      </c>
      <c r="K115" s="27"/>
      <c r="L115" s="27"/>
      <c r="M115" s="27"/>
      <c r="N115" s="27"/>
      <c r="O115" s="27"/>
      <c r="P115" s="27"/>
      <c r="Q115" s="27"/>
      <c r="R115" s="27">
        <v>15000000</v>
      </c>
      <c r="S115" s="27"/>
      <c r="T115" s="27"/>
      <c r="U115" s="27"/>
      <c r="V115" s="27"/>
      <c r="W115" s="27"/>
      <c r="X115" s="27"/>
      <c r="Y115" s="27"/>
      <c r="Z115" s="27"/>
      <c r="AA115" s="27">
        <f>105607498+8000000+9000000-4000000</f>
        <v>118607498</v>
      </c>
      <c r="AC115" s="29">
        <f t="shared" si="111"/>
        <v>0.77984927742185861</v>
      </c>
      <c r="AD115" s="27">
        <f t="shared" si="139"/>
        <v>338148494</v>
      </c>
      <c r="AE115" s="27"/>
      <c r="AF115" s="27"/>
      <c r="AG115" s="27">
        <f>+'[3]MAYO 2016'!$M$129</f>
        <v>294809318</v>
      </c>
      <c r="AH115" s="27"/>
      <c r="AI115" s="27"/>
      <c r="AJ115" s="27"/>
      <c r="AK115" s="27"/>
      <c r="AL115" s="27"/>
      <c r="AM115" s="27"/>
      <c r="AN115" s="27"/>
      <c r="AO115" s="27">
        <v>15000000</v>
      </c>
      <c r="AP115" s="27"/>
      <c r="AQ115" s="27"/>
      <c r="AR115" s="27"/>
      <c r="AS115" s="27"/>
      <c r="AT115" s="27"/>
      <c r="AU115" s="27"/>
      <c r="AV115" s="27"/>
      <c r="AW115" s="27"/>
      <c r="AX115" s="27">
        <f>+'[1]JUNIO 2016'!$AG$140</f>
        <v>28339176</v>
      </c>
      <c r="AY115" s="29">
        <f t="shared" si="113"/>
        <v>0.22015072257814139</v>
      </c>
      <c r="AZ115" s="27">
        <f t="shared" si="140"/>
        <v>95459004</v>
      </c>
      <c r="BA115" s="27">
        <f t="shared" si="141"/>
        <v>0</v>
      </c>
      <c r="BB115" s="27">
        <f t="shared" si="142"/>
        <v>0</v>
      </c>
      <c r="BC115" s="27">
        <f t="shared" si="142"/>
        <v>5190682</v>
      </c>
      <c r="BD115" s="27">
        <f t="shared" si="142"/>
        <v>0</v>
      </c>
      <c r="BE115" s="27">
        <f t="shared" si="143"/>
        <v>0</v>
      </c>
      <c r="BF115" s="27">
        <f t="shared" si="143"/>
        <v>0</v>
      </c>
      <c r="BG115" s="27">
        <f t="shared" si="143"/>
        <v>0</v>
      </c>
      <c r="BH115" s="27">
        <f t="shared" si="143"/>
        <v>0</v>
      </c>
      <c r="BI115" s="27">
        <f t="shared" si="143"/>
        <v>0</v>
      </c>
      <c r="BJ115" s="27">
        <f t="shared" si="143"/>
        <v>0</v>
      </c>
      <c r="BK115" s="27">
        <f t="shared" si="143"/>
        <v>0</v>
      </c>
      <c r="BL115" s="27">
        <f t="shared" si="143"/>
        <v>0</v>
      </c>
      <c r="BM115" s="27">
        <f t="shared" si="143"/>
        <v>0</v>
      </c>
      <c r="BN115" s="27">
        <f t="shared" si="143"/>
        <v>0</v>
      </c>
      <c r="BO115" s="27">
        <f t="shared" si="143"/>
        <v>0</v>
      </c>
      <c r="BP115" s="27">
        <f t="shared" si="143"/>
        <v>0</v>
      </c>
      <c r="BQ115" s="27"/>
      <c r="BR115" s="27"/>
      <c r="BS115" s="27">
        <f t="shared" si="144"/>
        <v>0</v>
      </c>
      <c r="BT115" s="27">
        <f t="shared" si="145"/>
        <v>90268322</v>
      </c>
      <c r="BU115" s="29">
        <f t="shared" si="120"/>
        <v>0.24311002574037591</v>
      </c>
      <c r="BV115" s="27">
        <f t="shared" si="146"/>
        <v>105414330</v>
      </c>
      <c r="BW115" s="27"/>
      <c r="BX115" s="27"/>
      <c r="BY115" s="27">
        <f>+'[1]JUNIO 2016'!$H$144+'[1]JUNIO 2016'!$H$146+'[1]JUNIO 2016'!$H$152+'[1]JUNIO 2016'!$H$153</f>
        <v>62075154</v>
      </c>
      <c r="BZ115" s="27"/>
      <c r="CA115" s="27"/>
      <c r="CB115" s="27"/>
      <c r="CC115" s="27"/>
      <c r="CD115" s="27"/>
      <c r="CE115" s="27"/>
      <c r="CF115" s="27"/>
      <c r="CG115" s="27">
        <f>+'[2]MARZO 2016 ULTIMO'!$H$88</f>
        <v>15000000</v>
      </c>
      <c r="CH115" s="27"/>
      <c r="CI115" s="27"/>
      <c r="CJ115" s="27"/>
      <c r="CK115" s="27"/>
      <c r="CL115" s="27"/>
      <c r="CM115" s="27"/>
      <c r="CN115" s="27"/>
      <c r="CO115" s="27"/>
      <c r="CP115" s="27">
        <f>+'[1]JUNIO 2016'!$H$148+'[1]JUNIO 2016'!$H$150+'[1]JUNIO 2016'!$H$157+'[1]JUNIO 2016'!$H$159</f>
        <v>28339176</v>
      </c>
      <c r="CQ115" s="29">
        <f t="shared" si="122"/>
        <v>0.75688997425962412</v>
      </c>
      <c r="CR115" s="27">
        <f t="shared" si="147"/>
        <v>328193168</v>
      </c>
      <c r="CS115" s="27">
        <f t="shared" si="148"/>
        <v>0</v>
      </c>
      <c r="CT115" s="27">
        <f t="shared" si="148"/>
        <v>0</v>
      </c>
      <c r="CU115" s="27">
        <f t="shared" si="148"/>
        <v>237924846</v>
      </c>
      <c r="CV115" s="27">
        <f t="shared" si="148"/>
        <v>0</v>
      </c>
      <c r="CW115" s="27">
        <f t="shared" si="148"/>
        <v>0</v>
      </c>
      <c r="CX115" s="27">
        <f t="shared" si="148"/>
        <v>0</v>
      </c>
      <c r="CY115" s="27">
        <f t="shared" si="148"/>
        <v>0</v>
      </c>
      <c r="CZ115" s="27">
        <f t="shared" si="149"/>
        <v>0</v>
      </c>
      <c r="DA115" s="27">
        <f t="shared" si="149"/>
        <v>0</v>
      </c>
      <c r="DB115" s="27">
        <f t="shared" si="149"/>
        <v>0</v>
      </c>
      <c r="DC115" s="27">
        <f t="shared" si="150"/>
        <v>0</v>
      </c>
      <c r="DD115" s="27">
        <f t="shared" si="150"/>
        <v>0</v>
      </c>
      <c r="DE115" s="27">
        <f t="shared" si="150"/>
        <v>0</v>
      </c>
      <c r="DF115" s="27">
        <f t="shared" si="151"/>
        <v>0</v>
      </c>
      <c r="DG115" s="27">
        <f t="shared" si="151"/>
        <v>0</v>
      </c>
      <c r="DH115" s="27">
        <f t="shared" si="151"/>
        <v>0</v>
      </c>
      <c r="DI115" s="27"/>
      <c r="DJ115" s="27">
        <f t="shared" si="152"/>
        <v>0</v>
      </c>
      <c r="DK115" s="27">
        <f t="shared" si="152"/>
        <v>0</v>
      </c>
      <c r="DL115" s="27">
        <f t="shared" si="152"/>
        <v>90268322</v>
      </c>
      <c r="DN115" s="33">
        <f t="shared" si="89"/>
        <v>433607498</v>
      </c>
      <c r="DO115" s="33">
        <f t="shared" si="90"/>
        <v>433607498</v>
      </c>
      <c r="DP115" s="33">
        <f t="shared" si="91"/>
        <v>433607498</v>
      </c>
    </row>
    <row r="116" spans="1:120" ht="81" customHeight="1" x14ac:dyDescent="0.25">
      <c r="A116" s="236"/>
      <c r="B116" s="230"/>
      <c r="C116" s="75" t="s">
        <v>321</v>
      </c>
      <c r="D116" s="24" t="s">
        <v>322</v>
      </c>
      <c r="E116" s="98">
        <v>211</v>
      </c>
      <c r="F116" s="26" t="s">
        <v>320</v>
      </c>
      <c r="G116" s="27">
        <f t="shared" si="153"/>
        <v>107477711</v>
      </c>
      <c r="H116" s="27"/>
      <c r="I116" s="39"/>
      <c r="J116" s="27">
        <v>50000000</v>
      </c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>
        <f>47318981+5271083+155508+1089440+2317590+1325109</f>
        <v>57477711</v>
      </c>
      <c r="AC116" s="29">
        <f t="shared" si="111"/>
        <v>0.10116449167772097</v>
      </c>
      <c r="AD116" s="27">
        <f t="shared" si="139"/>
        <v>10872928</v>
      </c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>
        <f>+'[1]JUNIO 2016'!$AG$163</f>
        <v>10872928</v>
      </c>
      <c r="AY116" s="29">
        <f t="shared" si="113"/>
        <v>0.89883550832227899</v>
      </c>
      <c r="AZ116" s="27">
        <f t="shared" si="140"/>
        <v>96604783</v>
      </c>
      <c r="BA116" s="27">
        <f t="shared" si="141"/>
        <v>0</v>
      </c>
      <c r="BB116" s="27">
        <f t="shared" si="142"/>
        <v>0</v>
      </c>
      <c r="BC116" s="27">
        <f t="shared" si="142"/>
        <v>50000000</v>
      </c>
      <c r="BD116" s="27">
        <f t="shared" si="142"/>
        <v>0</v>
      </c>
      <c r="BE116" s="27">
        <f t="shared" si="143"/>
        <v>0</v>
      </c>
      <c r="BF116" s="27">
        <f t="shared" si="143"/>
        <v>0</v>
      </c>
      <c r="BG116" s="27">
        <f t="shared" si="143"/>
        <v>0</v>
      </c>
      <c r="BH116" s="27">
        <f t="shared" si="143"/>
        <v>0</v>
      </c>
      <c r="BI116" s="27">
        <f t="shared" si="143"/>
        <v>0</v>
      </c>
      <c r="BJ116" s="27">
        <f t="shared" si="143"/>
        <v>0</v>
      </c>
      <c r="BK116" s="27">
        <f t="shared" si="143"/>
        <v>0</v>
      </c>
      <c r="BL116" s="27">
        <f t="shared" si="143"/>
        <v>0</v>
      </c>
      <c r="BM116" s="27">
        <f t="shared" si="143"/>
        <v>0</v>
      </c>
      <c r="BN116" s="27">
        <f t="shared" si="143"/>
        <v>0</v>
      </c>
      <c r="BO116" s="27">
        <f t="shared" si="143"/>
        <v>0</v>
      </c>
      <c r="BP116" s="27">
        <f t="shared" si="143"/>
        <v>0</v>
      </c>
      <c r="BQ116" s="27"/>
      <c r="BR116" s="27"/>
      <c r="BS116" s="27">
        <f t="shared" si="144"/>
        <v>0</v>
      </c>
      <c r="BT116" s="27">
        <f t="shared" si="145"/>
        <v>46604783</v>
      </c>
      <c r="BU116" s="29">
        <f t="shared" si="120"/>
        <v>5.3278023384774172E-2</v>
      </c>
      <c r="BV116" s="27">
        <f t="shared" si="146"/>
        <v>5726200</v>
      </c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>
        <f>+'[1]JUNIO 2016'!$H$161</f>
        <v>5726200</v>
      </c>
      <c r="CQ116" s="29">
        <f t="shared" si="122"/>
        <v>0.94672197661522584</v>
      </c>
      <c r="CR116" s="27">
        <f t="shared" si="147"/>
        <v>101751511</v>
      </c>
      <c r="CS116" s="27">
        <f t="shared" si="148"/>
        <v>0</v>
      </c>
      <c r="CT116" s="27">
        <f t="shared" si="148"/>
        <v>0</v>
      </c>
      <c r="CU116" s="27">
        <f t="shared" si="148"/>
        <v>50000000</v>
      </c>
      <c r="CV116" s="27">
        <f t="shared" si="148"/>
        <v>0</v>
      </c>
      <c r="CW116" s="27">
        <f t="shared" si="148"/>
        <v>0</v>
      </c>
      <c r="CX116" s="27">
        <f t="shared" si="148"/>
        <v>0</v>
      </c>
      <c r="CY116" s="27">
        <f t="shared" si="148"/>
        <v>0</v>
      </c>
      <c r="CZ116" s="27">
        <f t="shared" si="149"/>
        <v>0</v>
      </c>
      <c r="DA116" s="27">
        <f t="shared" si="149"/>
        <v>0</v>
      </c>
      <c r="DB116" s="27">
        <f t="shared" si="149"/>
        <v>0</v>
      </c>
      <c r="DC116" s="27">
        <f t="shared" si="150"/>
        <v>0</v>
      </c>
      <c r="DD116" s="27">
        <f t="shared" si="150"/>
        <v>0</v>
      </c>
      <c r="DE116" s="27">
        <f t="shared" si="150"/>
        <v>0</v>
      </c>
      <c r="DF116" s="27">
        <f t="shared" si="151"/>
        <v>0</v>
      </c>
      <c r="DG116" s="27">
        <f t="shared" si="151"/>
        <v>0</v>
      </c>
      <c r="DH116" s="27">
        <f t="shared" si="151"/>
        <v>0</v>
      </c>
      <c r="DI116" s="27"/>
      <c r="DJ116" s="27">
        <f t="shared" si="152"/>
        <v>0</v>
      </c>
      <c r="DK116" s="27">
        <f t="shared" si="152"/>
        <v>0</v>
      </c>
      <c r="DL116" s="27">
        <f t="shared" si="152"/>
        <v>51751511</v>
      </c>
      <c r="DN116" s="33">
        <f t="shared" si="89"/>
        <v>107477711</v>
      </c>
      <c r="DO116" s="33">
        <f t="shared" si="90"/>
        <v>107477711</v>
      </c>
      <c r="DP116" s="33">
        <f t="shared" si="91"/>
        <v>107477711</v>
      </c>
    </row>
    <row r="117" spans="1:120" ht="24.75" customHeight="1" x14ac:dyDescent="0.25">
      <c r="A117" s="236"/>
      <c r="B117" s="230"/>
      <c r="C117" s="75" t="s">
        <v>323</v>
      </c>
      <c r="D117" s="24" t="s">
        <v>324</v>
      </c>
      <c r="E117" s="98">
        <v>211</v>
      </c>
      <c r="F117" s="26" t="s">
        <v>325</v>
      </c>
      <c r="G117" s="27">
        <f t="shared" si="153"/>
        <v>3000000</v>
      </c>
      <c r="H117" s="27"/>
      <c r="I117" s="39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>
        <v>3000000</v>
      </c>
      <c r="AC117" s="29">
        <f t="shared" si="111"/>
        <v>1</v>
      </c>
      <c r="AD117" s="27">
        <f t="shared" si="139"/>
        <v>3000000</v>
      </c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>
        <v>3000000</v>
      </c>
      <c r="AY117" s="29">
        <f t="shared" si="113"/>
        <v>0</v>
      </c>
      <c r="AZ117" s="27">
        <f t="shared" si="140"/>
        <v>0</v>
      </c>
      <c r="BA117" s="27">
        <f t="shared" si="141"/>
        <v>0</v>
      </c>
      <c r="BB117" s="27">
        <f t="shared" si="142"/>
        <v>0</v>
      </c>
      <c r="BC117" s="27">
        <f t="shared" si="142"/>
        <v>0</v>
      </c>
      <c r="BD117" s="27">
        <f t="shared" si="142"/>
        <v>0</v>
      </c>
      <c r="BE117" s="27">
        <f t="shared" si="143"/>
        <v>0</v>
      </c>
      <c r="BF117" s="27">
        <f t="shared" si="143"/>
        <v>0</v>
      </c>
      <c r="BG117" s="27">
        <f t="shared" si="143"/>
        <v>0</v>
      </c>
      <c r="BH117" s="27">
        <f t="shared" si="143"/>
        <v>0</v>
      </c>
      <c r="BI117" s="27">
        <f t="shared" si="143"/>
        <v>0</v>
      </c>
      <c r="BJ117" s="27">
        <f t="shared" si="143"/>
        <v>0</v>
      </c>
      <c r="BK117" s="27">
        <f t="shared" si="143"/>
        <v>0</v>
      </c>
      <c r="BL117" s="27">
        <f t="shared" si="143"/>
        <v>0</v>
      </c>
      <c r="BM117" s="27">
        <f t="shared" si="143"/>
        <v>0</v>
      </c>
      <c r="BN117" s="27">
        <f t="shared" si="143"/>
        <v>0</v>
      </c>
      <c r="BO117" s="27">
        <f t="shared" si="143"/>
        <v>0</v>
      </c>
      <c r="BP117" s="27">
        <f t="shared" si="143"/>
        <v>0</v>
      </c>
      <c r="BQ117" s="27"/>
      <c r="BR117" s="27"/>
      <c r="BS117" s="27">
        <f t="shared" si="144"/>
        <v>0</v>
      </c>
      <c r="BT117" s="27">
        <f t="shared" si="145"/>
        <v>0</v>
      </c>
      <c r="BU117" s="29">
        <f t="shared" si="120"/>
        <v>0.99367266666666665</v>
      </c>
      <c r="BV117" s="27">
        <f t="shared" si="146"/>
        <v>2981018</v>
      </c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>
        <v>2981018</v>
      </c>
      <c r="CQ117" s="29">
        <f t="shared" si="122"/>
        <v>6.3273333333333515E-3</v>
      </c>
      <c r="CR117" s="27">
        <f t="shared" si="147"/>
        <v>18982</v>
      </c>
      <c r="CS117" s="27">
        <f t="shared" si="148"/>
        <v>0</v>
      </c>
      <c r="CT117" s="27">
        <f t="shared" si="148"/>
        <v>0</v>
      </c>
      <c r="CU117" s="27">
        <f t="shared" si="148"/>
        <v>0</v>
      </c>
      <c r="CV117" s="27">
        <f t="shared" si="148"/>
        <v>0</v>
      </c>
      <c r="CW117" s="27">
        <f t="shared" si="148"/>
        <v>0</v>
      </c>
      <c r="CX117" s="27">
        <f t="shared" si="148"/>
        <v>0</v>
      </c>
      <c r="CY117" s="27">
        <f t="shared" si="148"/>
        <v>0</v>
      </c>
      <c r="CZ117" s="27">
        <f t="shared" si="149"/>
        <v>0</v>
      </c>
      <c r="DA117" s="27">
        <f t="shared" si="149"/>
        <v>0</v>
      </c>
      <c r="DB117" s="27">
        <f t="shared" si="149"/>
        <v>0</v>
      </c>
      <c r="DC117" s="27">
        <f t="shared" si="150"/>
        <v>0</v>
      </c>
      <c r="DD117" s="27">
        <f t="shared" si="150"/>
        <v>0</v>
      </c>
      <c r="DE117" s="27">
        <f t="shared" si="150"/>
        <v>0</v>
      </c>
      <c r="DF117" s="27">
        <f t="shared" si="151"/>
        <v>0</v>
      </c>
      <c r="DG117" s="27">
        <f t="shared" si="151"/>
        <v>0</v>
      </c>
      <c r="DH117" s="27">
        <f t="shared" si="151"/>
        <v>0</v>
      </c>
      <c r="DI117" s="27"/>
      <c r="DJ117" s="27">
        <f t="shared" si="152"/>
        <v>0</v>
      </c>
      <c r="DK117" s="27">
        <f t="shared" si="152"/>
        <v>0</v>
      </c>
      <c r="DL117" s="27">
        <f t="shared" si="152"/>
        <v>18982</v>
      </c>
      <c r="DN117" s="33">
        <f t="shared" si="89"/>
        <v>3000000</v>
      </c>
      <c r="DO117" s="33">
        <f t="shared" si="90"/>
        <v>3000000</v>
      </c>
      <c r="DP117" s="33">
        <f t="shared" si="91"/>
        <v>3000000</v>
      </c>
    </row>
    <row r="118" spans="1:120" ht="20.25" customHeight="1" x14ac:dyDescent="0.25">
      <c r="A118" s="236"/>
      <c r="B118" s="230"/>
      <c r="C118" s="75" t="s">
        <v>326</v>
      </c>
      <c r="D118" s="24" t="s">
        <v>327</v>
      </c>
      <c r="E118" s="98">
        <v>211</v>
      </c>
      <c r="F118" s="26" t="s">
        <v>75</v>
      </c>
      <c r="G118" s="27">
        <f t="shared" si="153"/>
        <v>5846336</v>
      </c>
      <c r="H118" s="27"/>
      <c r="I118" s="39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>
        <f>5000000+846336</f>
        <v>5846336</v>
      </c>
      <c r="AC118" s="29">
        <f t="shared" si="111"/>
        <v>0.49506990361142433</v>
      </c>
      <c r="AD118" s="27">
        <f t="shared" si="139"/>
        <v>2894345</v>
      </c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>
        <f>+'[1]JUNIO 2016'!$AG$179</f>
        <v>2894345</v>
      </c>
      <c r="AY118" s="29">
        <f t="shared" si="113"/>
        <v>0.50493009638857567</v>
      </c>
      <c r="AZ118" s="27">
        <f t="shared" si="140"/>
        <v>2951991</v>
      </c>
      <c r="BA118" s="27">
        <f t="shared" si="141"/>
        <v>0</v>
      </c>
      <c r="BB118" s="27">
        <f t="shared" si="142"/>
        <v>0</v>
      </c>
      <c r="BC118" s="27">
        <f t="shared" si="142"/>
        <v>0</v>
      </c>
      <c r="BD118" s="27">
        <f t="shared" si="142"/>
        <v>0</v>
      </c>
      <c r="BE118" s="27">
        <f t="shared" si="143"/>
        <v>0</v>
      </c>
      <c r="BF118" s="27">
        <f t="shared" si="143"/>
        <v>0</v>
      </c>
      <c r="BG118" s="27">
        <f t="shared" si="143"/>
        <v>0</v>
      </c>
      <c r="BH118" s="27">
        <f t="shared" si="143"/>
        <v>0</v>
      </c>
      <c r="BI118" s="27">
        <f t="shared" si="143"/>
        <v>0</v>
      </c>
      <c r="BJ118" s="27">
        <f t="shared" si="143"/>
        <v>0</v>
      </c>
      <c r="BK118" s="27">
        <f t="shared" si="143"/>
        <v>0</v>
      </c>
      <c r="BL118" s="27">
        <f t="shared" si="143"/>
        <v>0</v>
      </c>
      <c r="BM118" s="27">
        <f t="shared" si="143"/>
        <v>0</v>
      </c>
      <c r="BN118" s="27">
        <f t="shared" si="143"/>
        <v>0</v>
      </c>
      <c r="BO118" s="27">
        <f t="shared" si="143"/>
        <v>0</v>
      </c>
      <c r="BP118" s="27">
        <f t="shared" si="143"/>
        <v>0</v>
      </c>
      <c r="BQ118" s="27"/>
      <c r="BR118" s="27"/>
      <c r="BS118" s="27">
        <f t="shared" si="144"/>
        <v>0</v>
      </c>
      <c r="BT118" s="27">
        <f t="shared" si="145"/>
        <v>2951991</v>
      </c>
      <c r="BU118" s="29">
        <f t="shared" si="120"/>
        <v>0.49506990361142433</v>
      </c>
      <c r="BV118" s="27">
        <f t="shared" si="146"/>
        <v>2894345</v>
      </c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>
        <f>+'[1]JUNIO 2016'!$H$177</f>
        <v>2894345</v>
      </c>
      <c r="CQ118" s="29">
        <f t="shared" si="122"/>
        <v>0.50493009638857567</v>
      </c>
      <c r="CR118" s="27">
        <f t="shared" si="147"/>
        <v>2951991</v>
      </c>
      <c r="CS118" s="27">
        <f t="shared" si="148"/>
        <v>0</v>
      </c>
      <c r="CT118" s="27">
        <f t="shared" si="148"/>
        <v>0</v>
      </c>
      <c r="CU118" s="27">
        <f t="shared" si="148"/>
        <v>0</v>
      </c>
      <c r="CV118" s="27">
        <f t="shared" si="148"/>
        <v>0</v>
      </c>
      <c r="CW118" s="27">
        <f t="shared" si="148"/>
        <v>0</v>
      </c>
      <c r="CX118" s="27">
        <f t="shared" si="148"/>
        <v>0</v>
      </c>
      <c r="CY118" s="27">
        <f t="shared" si="148"/>
        <v>0</v>
      </c>
      <c r="CZ118" s="27">
        <f t="shared" si="149"/>
        <v>0</v>
      </c>
      <c r="DA118" s="27">
        <f t="shared" si="149"/>
        <v>0</v>
      </c>
      <c r="DB118" s="27">
        <f t="shared" si="149"/>
        <v>0</v>
      </c>
      <c r="DC118" s="27">
        <f t="shared" si="150"/>
        <v>0</v>
      </c>
      <c r="DD118" s="27">
        <f t="shared" si="150"/>
        <v>0</v>
      </c>
      <c r="DE118" s="27">
        <f t="shared" si="150"/>
        <v>0</v>
      </c>
      <c r="DF118" s="27">
        <f t="shared" si="151"/>
        <v>0</v>
      </c>
      <c r="DG118" s="27">
        <f t="shared" si="151"/>
        <v>0</v>
      </c>
      <c r="DH118" s="27">
        <f t="shared" si="151"/>
        <v>0</v>
      </c>
      <c r="DI118" s="27"/>
      <c r="DJ118" s="27">
        <f t="shared" si="152"/>
        <v>0</v>
      </c>
      <c r="DK118" s="27">
        <f t="shared" si="152"/>
        <v>0</v>
      </c>
      <c r="DL118" s="27">
        <f t="shared" si="152"/>
        <v>2951991</v>
      </c>
      <c r="DN118" s="33">
        <f t="shared" si="89"/>
        <v>5846336</v>
      </c>
      <c r="DO118" s="33">
        <f t="shared" si="90"/>
        <v>5846336</v>
      </c>
      <c r="DP118" s="33">
        <f t="shared" si="91"/>
        <v>5846336</v>
      </c>
    </row>
    <row r="119" spans="1:120" s="64" customFormat="1" ht="17.25" customHeight="1" x14ac:dyDescent="0.25">
      <c r="A119" s="236"/>
      <c r="B119" s="230"/>
      <c r="C119" s="62" t="s">
        <v>328</v>
      </c>
      <c r="D119" s="24" t="s">
        <v>329</v>
      </c>
      <c r="E119" s="96">
        <v>211</v>
      </c>
      <c r="F119" s="26" t="s">
        <v>309</v>
      </c>
      <c r="G119" s="27">
        <f t="shared" si="153"/>
        <v>325200000</v>
      </c>
      <c r="H119" s="61"/>
      <c r="I119" s="32"/>
      <c r="J119" s="61">
        <f>296464791+28735209</f>
        <v>325200000</v>
      </c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>
        <f>28735209-28735209</f>
        <v>0</v>
      </c>
      <c r="W119" s="27"/>
      <c r="X119" s="27"/>
      <c r="Y119" s="27"/>
      <c r="Z119" s="27"/>
      <c r="AA119" s="27"/>
      <c r="AC119" s="65">
        <f t="shared" si="111"/>
        <v>0.5840385270602706</v>
      </c>
      <c r="AD119" s="27">
        <f t="shared" si="139"/>
        <v>189929329</v>
      </c>
      <c r="AE119" s="61"/>
      <c r="AF119" s="61"/>
      <c r="AG119" s="61">
        <f>+'[1]JUNIO 2016'!$M$187</f>
        <v>189929329</v>
      </c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5">
        <f t="shared" si="113"/>
        <v>0.4159614729397294</v>
      </c>
      <c r="AZ119" s="27">
        <f t="shared" si="140"/>
        <v>135270671</v>
      </c>
      <c r="BA119" s="27">
        <f t="shared" si="141"/>
        <v>0</v>
      </c>
      <c r="BB119" s="61">
        <f t="shared" si="142"/>
        <v>0</v>
      </c>
      <c r="BC119" s="61">
        <f t="shared" si="142"/>
        <v>135270671</v>
      </c>
      <c r="BD119" s="61">
        <f t="shared" si="142"/>
        <v>0</v>
      </c>
      <c r="BE119" s="61">
        <f t="shared" si="143"/>
        <v>0</v>
      </c>
      <c r="BF119" s="61">
        <f t="shared" si="143"/>
        <v>0</v>
      </c>
      <c r="BG119" s="27">
        <f t="shared" si="143"/>
        <v>0</v>
      </c>
      <c r="BH119" s="61">
        <f t="shared" si="143"/>
        <v>0</v>
      </c>
      <c r="BI119" s="61">
        <f t="shared" si="143"/>
        <v>0</v>
      </c>
      <c r="BJ119" s="61">
        <f t="shared" si="143"/>
        <v>0</v>
      </c>
      <c r="BK119" s="61">
        <f t="shared" si="143"/>
        <v>0</v>
      </c>
      <c r="BL119" s="61">
        <f t="shared" si="143"/>
        <v>0</v>
      </c>
      <c r="BM119" s="61">
        <f t="shared" si="143"/>
        <v>0</v>
      </c>
      <c r="BN119" s="61">
        <f t="shared" si="143"/>
        <v>0</v>
      </c>
      <c r="BO119" s="61">
        <f t="shared" si="143"/>
        <v>0</v>
      </c>
      <c r="BP119" s="61">
        <f t="shared" si="143"/>
        <v>0</v>
      </c>
      <c r="BQ119" s="61"/>
      <c r="BR119" s="61"/>
      <c r="BS119" s="27">
        <f t="shared" si="144"/>
        <v>0</v>
      </c>
      <c r="BT119" s="61">
        <f t="shared" si="145"/>
        <v>0</v>
      </c>
      <c r="BU119" s="65">
        <f t="shared" si="120"/>
        <v>0.1580639606396064</v>
      </c>
      <c r="BV119" s="27">
        <f t="shared" si="146"/>
        <v>51402400</v>
      </c>
      <c r="BW119" s="61"/>
      <c r="BX119" s="61"/>
      <c r="BY119" s="61">
        <f>+'[3]MAYO 2016'!$H$166</f>
        <v>51402400</v>
      </c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5">
        <f t="shared" si="122"/>
        <v>0.84193603936039363</v>
      </c>
      <c r="CR119" s="27">
        <f t="shared" si="147"/>
        <v>273797600</v>
      </c>
      <c r="CS119" s="27">
        <f t="shared" si="148"/>
        <v>0</v>
      </c>
      <c r="CT119" s="27">
        <f t="shared" si="148"/>
        <v>0</v>
      </c>
      <c r="CU119" s="61">
        <f t="shared" si="148"/>
        <v>273797600</v>
      </c>
      <c r="CV119" s="61">
        <f t="shared" si="148"/>
        <v>0</v>
      </c>
      <c r="CW119" s="61">
        <f t="shared" si="148"/>
        <v>0</v>
      </c>
      <c r="CX119" s="61">
        <f t="shared" si="148"/>
        <v>0</v>
      </c>
      <c r="CY119" s="27">
        <f t="shared" si="148"/>
        <v>0</v>
      </c>
      <c r="CZ119" s="61">
        <f t="shared" si="149"/>
        <v>0</v>
      </c>
      <c r="DA119" s="61">
        <f t="shared" si="149"/>
        <v>0</v>
      </c>
      <c r="DB119" s="27">
        <f t="shared" si="149"/>
        <v>0</v>
      </c>
      <c r="DC119" s="61">
        <f t="shared" si="150"/>
        <v>0</v>
      </c>
      <c r="DD119" s="61">
        <f t="shared" si="150"/>
        <v>0</v>
      </c>
      <c r="DE119" s="61">
        <f t="shared" si="150"/>
        <v>0</v>
      </c>
      <c r="DF119" s="61">
        <f t="shared" si="151"/>
        <v>0</v>
      </c>
      <c r="DG119" s="61">
        <f t="shared" si="151"/>
        <v>0</v>
      </c>
      <c r="DH119" s="61">
        <f t="shared" si="151"/>
        <v>0</v>
      </c>
      <c r="DI119" s="61"/>
      <c r="DJ119" s="61">
        <f t="shared" si="152"/>
        <v>0</v>
      </c>
      <c r="DK119" s="61">
        <f t="shared" si="152"/>
        <v>0</v>
      </c>
      <c r="DL119" s="61">
        <f t="shared" si="152"/>
        <v>0</v>
      </c>
      <c r="DN119" s="33">
        <f t="shared" si="89"/>
        <v>325200000</v>
      </c>
      <c r="DO119" s="33">
        <f t="shared" si="90"/>
        <v>325200000</v>
      </c>
      <c r="DP119" s="33">
        <f t="shared" si="91"/>
        <v>325200000</v>
      </c>
    </row>
    <row r="120" spans="1:120" s="64" customFormat="1" ht="17.25" customHeight="1" x14ac:dyDescent="0.25">
      <c r="A120" s="236"/>
      <c r="B120" s="231"/>
      <c r="C120" s="62" t="s">
        <v>330</v>
      </c>
      <c r="D120" s="24" t="s">
        <v>331</v>
      </c>
      <c r="E120" s="96">
        <v>211</v>
      </c>
      <c r="F120" s="26" t="s">
        <v>309</v>
      </c>
      <c r="G120" s="27">
        <f t="shared" si="153"/>
        <v>250000000</v>
      </c>
      <c r="H120" s="61"/>
      <c r="I120" s="32"/>
      <c r="J120" s="61"/>
      <c r="K120" s="27"/>
      <c r="L120" s="27"/>
      <c r="M120" s="27"/>
      <c r="N120" s="27"/>
      <c r="O120" s="27"/>
      <c r="P120" s="27"/>
      <c r="Q120" s="27"/>
      <c r="R120" s="27"/>
      <c r="S120" s="27"/>
      <c r="T120" s="27">
        <v>250000000</v>
      </c>
      <c r="U120" s="27"/>
      <c r="V120" s="27"/>
      <c r="W120" s="27"/>
      <c r="X120" s="27"/>
      <c r="Y120" s="27"/>
      <c r="Z120" s="27"/>
      <c r="AA120" s="27"/>
      <c r="AC120" s="65">
        <f t="shared" si="111"/>
        <v>1</v>
      </c>
      <c r="AD120" s="27">
        <f t="shared" si="139"/>
        <v>250000000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>
        <f>+'[1]JUNIO 2016'!$W$197</f>
        <v>250000000</v>
      </c>
      <c r="AR120" s="61"/>
      <c r="AS120" s="61"/>
      <c r="AT120" s="61"/>
      <c r="AU120" s="61"/>
      <c r="AV120" s="61"/>
      <c r="AW120" s="61"/>
      <c r="AX120" s="61"/>
      <c r="AY120" s="65">
        <f t="shared" si="113"/>
        <v>0</v>
      </c>
      <c r="AZ120" s="27">
        <f t="shared" si="140"/>
        <v>0</v>
      </c>
      <c r="BA120" s="27">
        <f t="shared" si="141"/>
        <v>0</v>
      </c>
      <c r="BB120" s="61">
        <f t="shared" si="142"/>
        <v>0</v>
      </c>
      <c r="BC120" s="61">
        <f t="shared" si="142"/>
        <v>0</v>
      </c>
      <c r="BD120" s="61">
        <f t="shared" si="142"/>
        <v>0</v>
      </c>
      <c r="BE120" s="61">
        <f t="shared" si="142"/>
        <v>0</v>
      </c>
      <c r="BF120" s="61">
        <f t="shared" si="142"/>
        <v>0</v>
      </c>
      <c r="BG120" s="61">
        <f t="shared" si="142"/>
        <v>0</v>
      </c>
      <c r="BH120" s="61">
        <f t="shared" si="142"/>
        <v>0</v>
      </c>
      <c r="BI120" s="61">
        <f t="shared" si="142"/>
        <v>0</v>
      </c>
      <c r="BJ120" s="61">
        <f t="shared" si="142"/>
        <v>0</v>
      </c>
      <c r="BK120" s="61">
        <f t="shared" si="142"/>
        <v>0</v>
      </c>
      <c r="BL120" s="61">
        <f t="shared" si="142"/>
        <v>0</v>
      </c>
      <c r="BM120" s="61">
        <f t="shared" si="142"/>
        <v>0</v>
      </c>
      <c r="BN120" s="61">
        <f t="shared" si="142"/>
        <v>0</v>
      </c>
      <c r="BO120" s="61">
        <f t="shared" si="142"/>
        <v>0</v>
      </c>
      <c r="BP120" s="61">
        <f t="shared" si="142"/>
        <v>0</v>
      </c>
      <c r="BQ120" s="61"/>
      <c r="BR120" s="61">
        <f>Y120-AV120</f>
        <v>0</v>
      </c>
      <c r="BS120" s="27">
        <f t="shared" si="144"/>
        <v>0</v>
      </c>
      <c r="BT120" s="61">
        <f>AA120-AX120</f>
        <v>0</v>
      </c>
      <c r="BU120" s="65">
        <f t="shared" si="120"/>
        <v>0.45569890400000002</v>
      </c>
      <c r="BV120" s="27">
        <f t="shared" si="146"/>
        <v>113924726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>
        <f>+'[1]JUNIO 2016'!$H$195</f>
        <v>113924726</v>
      </c>
      <c r="CJ120" s="61"/>
      <c r="CK120" s="61"/>
      <c r="CL120" s="61"/>
      <c r="CM120" s="61"/>
      <c r="CN120" s="61"/>
      <c r="CO120" s="61"/>
      <c r="CP120" s="61"/>
      <c r="CQ120" s="65">
        <f t="shared" si="122"/>
        <v>0.54430109599999998</v>
      </c>
      <c r="CR120" s="27">
        <f t="shared" si="147"/>
        <v>136075274</v>
      </c>
      <c r="CS120" s="27">
        <f t="shared" si="148"/>
        <v>0</v>
      </c>
      <c r="CT120" s="27">
        <f t="shared" si="148"/>
        <v>0</v>
      </c>
      <c r="CU120" s="27">
        <f t="shared" si="148"/>
        <v>0</v>
      </c>
      <c r="CV120" s="27">
        <f t="shared" si="148"/>
        <v>0</v>
      </c>
      <c r="CW120" s="27">
        <f t="shared" si="148"/>
        <v>0</v>
      </c>
      <c r="CX120" s="27">
        <f t="shared" si="148"/>
        <v>0</v>
      </c>
      <c r="CY120" s="27">
        <f t="shared" si="148"/>
        <v>0</v>
      </c>
      <c r="CZ120" s="27">
        <f>O120-CD120</f>
        <v>0</v>
      </c>
      <c r="DA120" s="27">
        <f>P120-CE120</f>
        <v>0</v>
      </c>
      <c r="DB120" s="27">
        <f>Q120-CF120</f>
        <v>0</v>
      </c>
      <c r="DC120" s="27">
        <f t="shared" si="150"/>
        <v>0</v>
      </c>
      <c r="DD120" s="27">
        <f t="shared" si="150"/>
        <v>0</v>
      </c>
      <c r="DE120" s="27">
        <f t="shared" si="150"/>
        <v>136075274</v>
      </c>
      <c r="DF120" s="27">
        <f>U120-CJ120</f>
        <v>0</v>
      </c>
      <c r="DG120" s="27">
        <f>V120-CK120</f>
        <v>0</v>
      </c>
      <c r="DH120" s="27">
        <f>W120-CL120</f>
        <v>0</v>
      </c>
      <c r="DI120" s="27"/>
      <c r="DJ120" s="27">
        <f>Y120-CN120</f>
        <v>0</v>
      </c>
      <c r="DK120" s="27">
        <f>Z120-CO120</f>
        <v>0</v>
      </c>
      <c r="DL120" s="27">
        <f>AA120-CP120</f>
        <v>0</v>
      </c>
      <c r="DN120" s="33">
        <f t="shared" si="89"/>
        <v>250000000</v>
      </c>
      <c r="DO120" s="33">
        <f t="shared" si="90"/>
        <v>250000000</v>
      </c>
      <c r="DP120" s="33">
        <f t="shared" si="91"/>
        <v>250000000</v>
      </c>
    </row>
    <row r="121" spans="1:120" s="64" customFormat="1" ht="33" customHeight="1" x14ac:dyDescent="0.25">
      <c r="A121" s="101"/>
      <c r="B121" s="24" t="s">
        <v>332</v>
      </c>
      <c r="C121" s="62" t="s">
        <v>333</v>
      </c>
      <c r="D121" s="24" t="s">
        <v>367</v>
      </c>
      <c r="E121" s="96" t="s">
        <v>334</v>
      </c>
      <c r="F121" s="26" t="s">
        <v>309</v>
      </c>
      <c r="G121" s="27">
        <f t="shared" si="153"/>
        <v>3185000000</v>
      </c>
      <c r="H121" s="61"/>
      <c r="I121" s="32"/>
      <c r="J121" s="61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>
        <f>485000000</f>
        <v>485000000</v>
      </c>
      <c r="V121" s="27"/>
      <c r="W121" s="27"/>
      <c r="X121" s="27"/>
      <c r="Y121" s="27">
        <v>2700000000</v>
      </c>
      <c r="Z121" s="27"/>
      <c r="AA121" s="27"/>
      <c r="AC121" s="65">
        <f t="shared" si="111"/>
        <v>1</v>
      </c>
      <c r="AD121" s="27">
        <f t="shared" si="139"/>
        <v>3185000000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>
        <f>+'[4]ABRIL 2016'!$X$1694</f>
        <v>485000000</v>
      </c>
      <c r="AS121" s="61"/>
      <c r="AT121" s="61"/>
      <c r="AU121" s="61"/>
      <c r="AV121" s="61">
        <f>+'[7]MARZO 2016 ULTIMO'!$AA$1371</f>
        <v>2700000000</v>
      </c>
      <c r="AW121" s="61"/>
      <c r="AX121" s="61"/>
      <c r="AY121" s="65">
        <f t="shared" si="113"/>
        <v>0</v>
      </c>
      <c r="AZ121" s="27">
        <f t="shared" si="140"/>
        <v>0</v>
      </c>
      <c r="BA121" s="27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>
        <f>U121-AR121</f>
        <v>0</v>
      </c>
      <c r="BO121" s="61"/>
      <c r="BP121" s="61"/>
      <c r="BQ121" s="61"/>
      <c r="BR121" s="61">
        <f>Y121-AV121</f>
        <v>0</v>
      </c>
      <c r="BS121" s="27"/>
      <c r="BT121" s="61"/>
      <c r="BU121" s="65">
        <f t="shared" si="120"/>
        <v>0.25496371679748825</v>
      </c>
      <c r="BV121" s="27">
        <f t="shared" si="146"/>
        <v>812059438</v>
      </c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>
        <f>+'[3]MAYO 2016'!$H$1940</f>
        <v>359172189</v>
      </c>
      <c r="CK121" s="61"/>
      <c r="CL121" s="61"/>
      <c r="CM121" s="61"/>
      <c r="CN121" s="61">
        <f>+'[3]MAYO 2016'!$H$1948</f>
        <v>452887249</v>
      </c>
      <c r="CO121" s="61"/>
      <c r="CP121" s="61"/>
      <c r="CQ121" s="65">
        <f t="shared" si="122"/>
        <v>0.7450362832025117</v>
      </c>
      <c r="CR121" s="27">
        <f t="shared" si="147"/>
        <v>2372940562</v>
      </c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>
        <f>U121-CJ121</f>
        <v>125827811</v>
      </c>
      <c r="DG121" s="27"/>
      <c r="DH121" s="27"/>
      <c r="DI121" s="27"/>
      <c r="DJ121" s="27">
        <f>Y121-CN121</f>
        <v>2247112751</v>
      </c>
      <c r="DK121" s="27"/>
      <c r="DL121" s="27"/>
      <c r="DN121" s="33">
        <f t="shared" si="89"/>
        <v>3185000000</v>
      </c>
      <c r="DO121" s="33">
        <f t="shared" si="90"/>
        <v>3185000000</v>
      </c>
      <c r="DP121" s="33">
        <f t="shared" si="91"/>
        <v>3185000000</v>
      </c>
    </row>
    <row r="122" spans="1:120" ht="29.25" customHeight="1" x14ac:dyDescent="0.25">
      <c r="A122" s="236" t="s">
        <v>299</v>
      </c>
      <c r="B122" s="229" t="s">
        <v>335</v>
      </c>
      <c r="C122" s="75" t="s">
        <v>336</v>
      </c>
      <c r="D122" s="24" t="s">
        <v>337</v>
      </c>
      <c r="E122" s="98">
        <v>510</v>
      </c>
      <c r="F122" s="26" t="s">
        <v>338</v>
      </c>
      <c r="G122" s="27">
        <f t="shared" si="153"/>
        <v>95000000</v>
      </c>
      <c r="H122" s="27"/>
      <c r="I122" s="27"/>
      <c r="J122" s="27"/>
      <c r="K122" s="27"/>
      <c r="L122" s="27">
        <v>95000000</v>
      </c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9">
        <f t="shared" si="111"/>
        <v>0.80492631578947371</v>
      </c>
      <c r="AD122" s="27">
        <f t="shared" si="139"/>
        <v>76468000</v>
      </c>
      <c r="AE122" s="27"/>
      <c r="AF122" s="27"/>
      <c r="AG122" s="27"/>
      <c r="AH122" s="27"/>
      <c r="AI122" s="27">
        <f>+'[1]JUNIO 2016'!$O$1664</f>
        <v>76468000</v>
      </c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9">
        <f t="shared" si="113"/>
        <v>0.19507368421052629</v>
      </c>
      <c r="AZ122" s="27">
        <f t="shared" si="140"/>
        <v>18532000</v>
      </c>
      <c r="BA122" s="27">
        <f t="shared" ref="BA122:BA127" si="154">+H122</f>
        <v>0</v>
      </c>
      <c r="BB122" s="27">
        <f t="shared" ref="BB122:BD127" si="155">I122-AF122</f>
        <v>0</v>
      </c>
      <c r="BC122" s="27">
        <f t="shared" si="155"/>
        <v>0</v>
      </c>
      <c r="BD122" s="27">
        <f t="shared" si="155"/>
        <v>0</v>
      </c>
      <c r="BE122" s="27">
        <f t="shared" ref="BE122:BP127" si="156">+L122-AI122</f>
        <v>18532000</v>
      </c>
      <c r="BF122" s="27">
        <f t="shared" si="156"/>
        <v>0</v>
      </c>
      <c r="BG122" s="27">
        <f t="shared" si="156"/>
        <v>0</v>
      </c>
      <c r="BH122" s="27">
        <f t="shared" si="156"/>
        <v>0</v>
      </c>
      <c r="BI122" s="27">
        <f t="shared" si="156"/>
        <v>0</v>
      </c>
      <c r="BJ122" s="27">
        <f t="shared" si="156"/>
        <v>0</v>
      </c>
      <c r="BK122" s="27">
        <f t="shared" si="156"/>
        <v>0</v>
      </c>
      <c r="BL122" s="27">
        <f t="shared" si="156"/>
        <v>0</v>
      </c>
      <c r="BM122" s="27">
        <f t="shared" si="156"/>
        <v>0</v>
      </c>
      <c r="BN122" s="27">
        <f t="shared" si="156"/>
        <v>0</v>
      </c>
      <c r="BO122" s="27">
        <f t="shared" si="156"/>
        <v>0</v>
      </c>
      <c r="BP122" s="27">
        <f t="shared" si="156"/>
        <v>0</v>
      </c>
      <c r="BQ122" s="27"/>
      <c r="BR122" s="27"/>
      <c r="BS122" s="27">
        <f t="shared" ref="BS122:BS127" si="157">Z122-AW122</f>
        <v>0</v>
      </c>
      <c r="BT122" s="27">
        <f t="shared" ref="BT122:BT127" si="158">+AA122-AX122</f>
        <v>0</v>
      </c>
      <c r="BU122" s="29">
        <f t="shared" si="120"/>
        <v>0.54256421052631576</v>
      </c>
      <c r="BV122" s="27">
        <f t="shared" si="146"/>
        <v>51543600</v>
      </c>
      <c r="BW122" s="27"/>
      <c r="BX122" s="27"/>
      <c r="BY122" s="27"/>
      <c r="BZ122" s="27"/>
      <c r="CA122" s="27">
        <f>+'[1]JUNIO 2016'!$H$1662</f>
        <v>51543600</v>
      </c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9">
        <f t="shared" si="122"/>
        <v>0.45743578947368424</v>
      </c>
      <c r="CR122" s="27">
        <f t="shared" si="147"/>
        <v>43456400</v>
      </c>
      <c r="CS122" s="27">
        <f t="shared" ref="CS122:CY127" si="159">H122-BW122</f>
        <v>0</v>
      </c>
      <c r="CT122" s="27">
        <f t="shared" si="159"/>
        <v>0</v>
      </c>
      <c r="CU122" s="27">
        <f t="shared" si="159"/>
        <v>0</v>
      </c>
      <c r="CV122" s="27">
        <f t="shared" si="159"/>
        <v>0</v>
      </c>
      <c r="CW122" s="27">
        <f t="shared" si="159"/>
        <v>43456400</v>
      </c>
      <c r="CX122" s="27">
        <f t="shared" si="159"/>
        <v>0</v>
      </c>
      <c r="CY122" s="27">
        <f t="shared" si="159"/>
        <v>0</v>
      </c>
      <c r="CZ122" s="27">
        <f t="shared" ref="CZ122:DB127" si="160">+O122-CD122</f>
        <v>0</v>
      </c>
      <c r="DA122" s="27">
        <f t="shared" si="160"/>
        <v>0</v>
      </c>
      <c r="DB122" s="27">
        <f t="shared" si="160"/>
        <v>0</v>
      </c>
      <c r="DC122" s="27">
        <f t="shared" ref="DC122:DE127" si="161">R122-CG122</f>
        <v>0</v>
      </c>
      <c r="DD122" s="27">
        <f t="shared" si="161"/>
        <v>0</v>
      </c>
      <c r="DE122" s="27">
        <f t="shared" si="161"/>
        <v>0</v>
      </c>
      <c r="DF122" s="27">
        <f t="shared" ref="DF122:DH127" si="162">+U122-CJ122</f>
        <v>0</v>
      </c>
      <c r="DG122" s="27">
        <f t="shared" si="162"/>
        <v>0</v>
      </c>
      <c r="DH122" s="27">
        <f t="shared" si="162"/>
        <v>0</v>
      </c>
      <c r="DI122" s="27"/>
      <c r="DJ122" s="27">
        <f t="shared" ref="DJ122:DL127" si="163">+Y122-CN122</f>
        <v>0</v>
      </c>
      <c r="DK122" s="27">
        <f t="shared" si="163"/>
        <v>0</v>
      </c>
      <c r="DL122" s="27">
        <f t="shared" si="163"/>
        <v>0</v>
      </c>
      <c r="DN122" s="33">
        <f t="shared" si="89"/>
        <v>95000000</v>
      </c>
      <c r="DO122" s="33">
        <f t="shared" si="90"/>
        <v>95000000</v>
      </c>
      <c r="DP122" s="33">
        <f t="shared" si="91"/>
        <v>95000000</v>
      </c>
    </row>
    <row r="123" spans="1:120" ht="38.25" customHeight="1" x14ac:dyDescent="0.25">
      <c r="A123" s="236"/>
      <c r="B123" s="230"/>
      <c r="C123" s="75" t="s">
        <v>339</v>
      </c>
      <c r="D123" s="24" t="s">
        <v>340</v>
      </c>
      <c r="E123" s="98">
        <v>510</v>
      </c>
      <c r="F123" s="26" t="s">
        <v>338</v>
      </c>
      <c r="G123" s="27">
        <f t="shared" si="153"/>
        <v>102000000</v>
      </c>
      <c r="H123" s="27"/>
      <c r="I123" s="27"/>
      <c r="J123" s="27"/>
      <c r="K123" s="27"/>
      <c r="L123" s="27">
        <v>102000000</v>
      </c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C123" s="29">
        <f t="shared" si="111"/>
        <v>0.94607843137254899</v>
      </c>
      <c r="AD123" s="27">
        <f t="shared" si="139"/>
        <v>96500000</v>
      </c>
      <c r="AE123" s="27"/>
      <c r="AF123" s="27"/>
      <c r="AG123" s="27"/>
      <c r="AH123" s="27"/>
      <c r="AI123" s="27">
        <f>+'[1]JUNIO 2016'!$O$1677</f>
        <v>96500000</v>
      </c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9">
        <f t="shared" si="113"/>
        <v>5.3921568627451011E-2</v>
      </c>
      <c r="AZ123" s="27">
        <f t="shared" si="140"/>
        <v>5500000</v>
      </c>
      <c r="BA123" s="27">
        <f t="shared" si="154"/>
        <v>0</v>
      </c>
      <c r="BB123" s="27">
        <f t="shared" si="155"/>
        <v>0</v>
      </c>
      <c r="BC123" s="27">
        <f t="shared" si="155"/>
        <v>0</v>
      </c>
      <c r="BD123" s="27">
        <f t="shared" si="155"/>
        <v>0</v>
      </c>
      <c r="BE123" s="27">
        <f t="shared" si="156"/>
        <v>5500000</v>
      </c>
      <c r="BF123" s="27">
        <f t="shared" si="156"/>
        <v>0</v>
      </c>
      <c r="BG123" s="27">
        <f t="shared" si="156"/>
        <v>0</v>
      </c>
      <c r="BH123" s="27">
        <f t="shared" si="156"/>
        <v>0</v>
      </c>
      <c r="BI123" s="27">
        <f t="shared" si="156"/>
        <v>0</v>
      </c>
      <c r="BJ123" s="27">
        <f t="shared" si="156"/>
        <v>0</v>
      </c>
      <c r="BK123" s="27">
        <f t="shared" si="156"/>
        <v>0</v>
      </c>
      <c r="BL123" s="27">
        <f t="shared" si="156"/>
        <v>0</v>
      </c>
      <c r="BM123" s="27">
        <f t="shared" si="156"/>
        <v>0</v>
      </c>
      <c r="BN123" s="27">
        <f t="shared" si="156"/>
        <v>0</v>
      </c>
      <c r="BO123" s="27">
        <f t="shared" si="156"/>
        <v>0</v>
      </c>
      <c r="BP123" s="27">
        <f t="shared" si="156"/>
        <v>0</v>
      </c>
      <c r="BQ123" s="27"/>
      <c r="BR123" s="27"/>
      <c r="BS123" s="27">
        <f t="shared" si="157"/>
        <v>0</v>
      </c>
      <c r="BT123" s="27">
        <f t="shared" si="158"/>
        <v>0</v>
      </c>
      <c r="BU123" s="29">
        <f t="shared" si="120"/>
        <v>0.56530914705882351</v>
      </c>
      <c r="BV123" s="27">
        <f t="shared" si="146"/>
        <v>57661533</v>
      </c>
      <c r="BW123" s="27"/>
      <c r="BX123" s="27"/>
      <c r="BY123" s="27"/>
      <c r="BZ123" s="27"/>
      <c r="CA123" s="27">
        <v>57661533</v>
      </c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9">
        <f t="shared" si="122"/>
        <v>0.43469085294117649</v>
      </c>
      <c r="CR123" s="27">
        <f t="shared" si="147"/>
        <v>44338467</v>
      </c>
      <c r="CS123" s="27">
        <f t="shared" si="159"/>
        <v>0</v>
      </c>
      <c r="CT123" s="27">
        <f t="shared" si="159"/>
        <v>0</v>
      </c>
      <c r="CU123" s="27">
        <f t="shared" si="159"/>
        <v>0</v>
      </c>
      <c r="CV123" s="27">
        <f t="shared" si="159"/>
        <v>0</v>
      </c>
      <c r="CW123" s="27">
        <f t="shared" si="159"/>
        <v>44338467</v>
      </c>
      <c r="CX123" s="27">
        <f t="shared" si="159"/>
        <v>0</v>
      </c>
      <c r="CY123" s="27">
        <f t="shared" si="159"/>
        <v>0</v>
      </c>
      <c r="CZ123" s="27">
        <f t="shared" si="160"/>
        <v>0</v>
      </c>
      <c r="DA123" s="27">
        <f t="shared" si="160"/>
        <v>0</v>
      </c>
      <c r="DB123" s="27">
        <f t="shared" si="160"/>
        <v>0</v>
      </c>
      <c r="DC123" s="27">
        <f t="shared" si="161"/>
        <v>0</v>
      </c>
      <c r="DD123" s="27">
        <f t="shared" si="161"/>
        <v>0</v>
      </c>
      <c r="DE123" s="27">
        <f t="shared" si="161"/>
        <v>0</v>
      </c>
      <c r="DF123" s="27">
        <f t="shared" si="162"/>
        <v>0</v>
      </c>
      <c r="DG123" s="27">
        <f t="shared" si="162"/>
        <v>0</v>
      </c>
      <c r="DH123" s="27">
        <f t="shared" si="162"/>
        <v>0</v>
      </c>
      <c r="DI123" s="27"/>
      <c r="DJ123" s="27">
        <f t="shared" si="163"/>
        <v>0</v>
      </c>
      <c r="DK123" s="27">
        <f t="shared" si="163"/>
        <v>0</v>
      </c>
      <c r="DL123" s="27">
        <f t="shared" si="163"/>
        <v>0</v>
      </c>
      <c r="DN123" s="33">
        <f t="shared" si="89"/>
        <v>102000000</v>
      </c>
      <c r="DO123" s="33">
        <f t="shared" si="90"/>
        <v>102000000</v>
      </c>
      <c r="DP123" s="33">
        <f t="shared" si="91"/>
        <v>102000000</v>
      </c>
    </row>
    <row r="124" spans="1:120" ht="30" x14ac:dyDescent="0.25">
      <c r="A124" s="236"/>
      <c r="B124" s="231"/>
      <c r="C124" s="75" t="s">
        <v>341</v>
      </c>
      <c r="D124" s="24" t="s">
        <v>342</v>
      </c>
      <c r="E124" s="98">
        <v>510</v>
      </c>
      <c r="F124" s="26" t="s">
        <v>338</v>
      </c>
      <c r="G124" s="27">
        <f t="shared" si="153"/>
        <v>10000000</v>
      </c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>
        <v>10000000</v>
      </c>
      <c r="U124" s="27"/>
      <c r="V124" s="27"/>
      <c r="W124" s="27"/>
      <c r="X124" s="27"/>
      <c r="Y124" s="27"/>
      <c r="Z124" s="27"/>
      <c r="AA124" s="27"/>
      <c r="AC124" s="29">
        <f t="shared" si="111"/>
        <v>0</v>
      </c>
      <c r="AD124" s="27">
        <f t="shared" si="139"/>
        <v>0</v>
      </c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9">
        <f t="shared" si="113"/>
        <v>1</v>
      </c>
      <c r="AZ124" s="27">
        <f t="shared" si="140"/>
        <v>10000000</v>
      </c>
      <c r="BA124" s="27">
        <f t="shared" si="154"/>
        <v>0</v>
      </c>
      <c r="BB124" s="27">
        <f t="shared" si="155"/>
        <v>0</v>
      </c>
      <c r="BC124" s="27">
        <f t="shared" si="155"/>
        <v>0</v>
      </c>
      <c r="BD124" s="27">
        <f t="shared" si="155"/>
        <v>0</v>
      </c>
      <c r="BE124" s="27">
        <f t="shared" si="156"/>
        <v>0</v>
      </c>
      <c r="BF124" s="27">
        <f t="shared" si="156"/>
        <v>0</v>
      </c>
      <c r="BG124" s="27">
        <f t="shared" si="156"/>
        <v>0</v>
      </c>
      <c r="BH124" s="27">
        <f t="shared" si="156"/>
        <v>0</v>
      </c>
      <c r="BI124" s="27">
        <f t="shared" si="156"/>
        <v>0</v>
      </c>
      <c r="BJ124" s="27">
        <f t="shared" si="156"/>
        <v>0</v>
      </c>
      <c r="BK124" s="27">
        <f t="shared" si="156"/>
        <v>0</v>
      </c>
      <c r="BL124" s="27">
        <f t="shared" si="156"/>
        <v>0</v>
      </c>
      <c r="BM124" s="27">
        <f t="shared" si="156"/>
        <v>10000000</v>
      </c>
      <c r="BN124" s="27">
        <f t="shared" si="156"/>
        <v>0</v>
      </c>
      <c r="BO124" s="27">
        <f t="shared" si="156"/>
        <v>0</v>
      </c>
      <c r="BP124" s="27">
        <f t="shared" si="156"/>
        <v>0</v>
      </c>
      <c r="BQ124" s="27"/>
      <c r="BR124" s="27"/>
      <c r="BS124" s="27">
        <f t="shared" si="157"/>
        <v>0</v>
      </c>
      <c r="BT124" s="27">
        <f t="shared" si="158"/>
        <v>0</v>
      </c>
      <c r="BU124" s="29">
        <f t="shared" si="120"/>
        <v>0</v>
      </c>
      <c r="BV124" s="27">
        <f t="shared" si="146"/>
        <v>0</v>
      </c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9">
        <f t="shared" si="122"/>
        <v>1</v>
      </c>
      <c r="CR124" s="27">
        <f t="shared" si="147"/>
        <v>10000000</v>
      </c>
      <c r="CS124" s="27">
        <f t="shared" si="159"/>
        <v>0</v>
      </c>
      <c r="CT124" s="27">
        <f t="shared" si="159"/>
        <v>0</v>
      </c>
      <c r="CU124" s="27">
        <f t="shared" si="159"/>
        <v>0</v>
      </c>
      <c r="CV124" s="27">
        <f t="shared" si="159"/>
        <v>0</v>
      </c>
      <c r="CW124" s="27">
        <f t="shared" si="159"/>
        <v>0</v>
      </c>
      <c r="CX124" s="27">
        <f t="shared" si="159"/>
        <v>0</v>
      </c>
      <c r="CY124" s="27">
        <f t="shared" si="159"/>
        <v>0</v>
      </c>
      <c r="CZ124" s="27">
        <f t="shared" si="160"/>
        <v>0</v>
      </c>
      <c r="DA124" s="27">
        <f t="shared" si="160"/>
        <v>0</v>
      </c>
      <c r="DB124" s="27">
        <f t="shared" si="160"/>
        <v>0</v>
      </c>
      <c r="DC124" s="27">
        <f t="shared" si="161"/>
        <v>0</v>
      </c>
      <c r="DD124" s="27">
        <f t="shared" si="161"/>
        <v>0</v>
      </c>
      <c r="DE124" s="27">
        <f t="shared" si="161"/>
        <v>10000000</v>
      </c>
      <c r="DF124" s="27">
        <f t="shared" si="162"/>
        <v>0</v>
      </c>
      <c r="DG124" s="27">
        <f t="shared" si="162"/>
        <v>0</v>
      </c>
      <c r="DH124" s="27">
        <f t="shared" si="162"/>
        <v>0</v>
      </c>
      <c r="DI124" s="27"/>
      <c r="DJ124" s="27">
        <f t="shared" si="163"/>
        <v>0</v>
      </c>
      <c r="DK124" s="27">
        <f t="shared" si="163"/>
        <v>0</v>
      </c>
      <c r="DL124" s="27">
        <f t="shared" si="163"/>
        <v>0</v>
      </c>
      <c r="DN124" s="33">
        <f t="shared" si="89"/>
        <v>10000000</v>
      </c>
      <c r="DO124" s="33">
        <f t="shared" si="90"/>
        <v>10000000</v>
      </c>
      <c r="DP124" s="33">
        <f t="shared" si="91"/>
        <v>10000000</v>
      </c>
    </row>
    <row r="125" spans="1:120" ht="30.75" customHeight="1" x14ac:dyDescent="0.25">
      <c r="A125" s="236"/>
      <c r="B125" s="95" t="s">
        <v>343</v>
      </c>
      <c r="C125" s="75" t="s">
        <v>344</v>
      </c>
      <c r="D125" s="24" t="s">
        <v>345</v>
      </c>
      <c r="E125" s="98">
        <v>510</v>
      </c>
      <c r="F125" s="26" t="s">
        <v>338</v>
      </c>
      <c r="G125" s="27">
        <f t="shared" si="153"/>
        <v>80000000</v>
      </c>
      <c r="H125" s="27"/>
      <c r="I125" s="27"/>
      <c r="J125" s="27"/>
      <c r="K125" s="27"/>
      <c r="L125" s="27">
        <v>80000000</v>
      </c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C125" s="29">
        <f t="shared" si="111"/>
        <v>1</v>
      </c>
      <c r="AD125" s="27">
        <f t="shared" si="139"/>
        <v>80000000</v>
      </c>
      <c r="AE125" s="27"/>
      <c r="AF125" s="27"/>
      <c r="AG125" s="27"/>
      <c r="AH125" s="27"/>
      <c r="AI125" s="27">
        <f>+'[5]ENERO 2016'!$O$625</f>
        <v>80000000</v>
      </c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9">
        <f t="shared" si="113"/>
        <v>0</v>
      </c>
      <c r="AZ125" s="27">
        <f t="shared" si="140"/>
        <v>0</v>
      </c>
      <c r="BA125" s="27">
        <f t="shared" si="154"/>
        <v>0</v>
      </c>
      <c r="BB125" s="27">
        <f t="shared" si="155"/>
        <v>0</v>
      </c>
      <c r="BC125" s="27">
        <f t="shared" si="155"/>
        <v>0</v>
      </c>
      <c r="BD125" s="27">
        <f t="shared" si="155"/>
        <v>0</v>
      </c>
      <c r="BE125" s="27">
        <f t="shared" si="156"/>
        <v>0</v>
      </c>
      <c r="BF125" s="27">
        <f t="shared" si="156"/>
        <v>0</v>
      </c>
      <c r="BG125" s="27">
        <f t="shared" si="156"/>
        <v>0</v>
      </c>
      <c r="BH125" s="27">
        <f t="shared" si="156"/>
        <v>0</v>
      </c>
      <c r="BI125" s="27">
        <f t="shared" si="156"/>
        <v>0</v>
      </c>
      <c r="BJ125" s="27">
        <f t="shared" si="156"/>
        <v>0</v>
      </c>
      <c r="BK125" s="27">
        <f t="shared" si="156"/>
        <v>0</v>
      </c>
      <c r="BL125" s="27">
        <f t="shared" si="156"/>
        <v>0</v>
      </c>
      <c r="BM125" s="27">
        <f t="shared" si="156"/>
        <v>0</v>
      </c>
      <c r="BN125" s="27">
        <f t="shared" si="156"/>
        <v>0</v>
      </c>
      <c r="BO125" s="27">
        <f t="shared" si="156"/>
        <v>0</v>
      </c>
      <c r="BP125" s="27">
        <f t="shared" si="156"/>
        <v>0</v>
      </c>
      <c r="BQ125" s="27"/>
      <c r="BR125" s="27"/>
      <c r="BS125" s="27">
        <f t="shared" si="157"/>
        <v>0</v>
      </c>
      <c r="BT125" s="27">
        <f t="shared" si="158"/>
        <v>0</v>
      </c>
      <c r="BU125" s="29">
        <f t="shared" si="120"/>
        <v>0.97971187500000001</v>
      </c>
      <c r="BV125" s="27">
        <f t="shared" si="146"/>
        <v>78376950</v>
      </c>
      <c r="BW125" s="27"/>
      <c r="BX125" s="27"/>
      <c r="BY125" s="27"/>
      <c r="BZ125" s="27"/>
      <c r="CA125" s="27">
        <f>+'[7]MARZO 2016 ULTIMO'!$H$1027</f>
        <v>78376950</v>
      </c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9">
        <f t="shared" si="122"/>
        <v>2.028812499999999E-2</v>
      </c>
      <c r="CR125" s="27">
        <f t="shared" si="147"/>
        <v>1623050</v>
      </c>
      <c r="CS125" s="27">
        <f t="shared" si="159"/>
        <v>0</v>
      </c>
      <c r="CT125" s="27">
        <f t="shared" si="159"/>
        <v>0</v>
      </c>
      <c r="CU125" s="27">
        <f t="shared" si="159"/>
        <v>0</v>
      </c>
      <c r="CV125" s="27">
        <f t="shared" si="159"/>
        <v>0</v>
      </c>
      <c r="CW125" s="27">
        <f t="shared" si="159"/>
        <v>1623050</v>
      </c>
      <c r="CX125" s="27">
        <f t="shared" si="159"/>
        <v>0</v>
      </c>
      <c r="CY125" s="27">
        <f t="shared" si="159"/>
        <v>0</v>
      </c>
      <c r="CZ125" s="27">
        <f t="shared" si="160"/>
        <v>0</v>
      </c>
      <c r="DA125" s="27">
        <f t="shared" si="160"/>
        <v>0</v>
      </c>
      <c r="DB125" s="27">
        <f t="shared" si="160"/>
        <v>0</v>
      </c>
      <c r="DC125" s="27">
        <f t="shared" si="161"/>
        <v>0</v>
      </c>
      <c r="DD125" s="27">
        <f t="shared" si="161"/>
        <v>0</v>
      </c>
      <c r="DE125" s="27">
        <f t="shared" si="161"/>
        <v>0</v>
      </c>
      <c r="DF125" s="27">
        <f t="shared" si="162"/>
        <v>0</v>
      </c>
      <c r="DG125" s="27">
        <f t="shared" si="162"/>
        <v>0</v>
      </c>
      <c r="DH125" s="27">
        <f t="shared" si="162"/>
        <v>0</v>
      </c>
      <c r="DI125" s="27"/>
      <c r="DJ125" s="27">
        <f t="shared" si="163"/>
        <v>0</v>
      </c>
      <c r="DK125" s="27">
        <f t="shared" si="163"/>
        <v>0</v>
      </c>
      <c r="DL125" s="27">
        <f t="shared" si="163"/>
        <v>0</v>
      </c>
      <c r="DN125" s="33">
        <f t="shared" si="89"/>
        <v>80000000</v>
      </c>
      <c r="DO125" s="33">
        <f t="shared" si="90"/>
        <v>80000000</v>
      </c>
      <c r="DP125" s="33">
        <f t="shared" si="91"/>
        <v>80000000</v>
      </c>
    </row>
    <row r="126" spans="1:120" ht="34.5" customHeight="1" x14ac:dyDescent="0.25">
      <c r="A126" s="236"/>
      <c r="B126" s="95" t="s">
        <v>346</v>
      </c>
      <c r="C126" s="75" t="s">
        <v>347</v>
      </c>
      <c r="D126" s="24" t="s">
        <v>348</v>
      </c>
      <c r="E126" s="98">
        <v>510</v>
      </c>
      <c r="F126" s="26" t="s">
        <v>349</v>
      </c>
      <c r="G126" s="27">
        <f t="shared" si="153"/>
        <v>110000000</v>
      </c>
      <c r="H126" s="27"/>
      <c r="I126" s="27"/>
      <c r="J126" s="27"/>
      <c r="K126" s="27"/>
      <c r="L126" s="27">
        <v>110000000</v>
      </c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C126" s="29">
        <f t="shared" si="111"/>
        <v>0.87053905454545455</v>
      </c>
      <c r="AD126" s="27">
        <f t="shared" si="139"/>
        <v>95759296</v>
      </c>
      <c r="AE126" s="27"/>
      <c r="AF126" s="27"/>
      <c r="AG126" s="27"/>
      <c r="AH126" s="27"/>
      <c r="AI126" s="27">
        <f>+'[1]JUNIO 2016'!$O$1713</f>
        <v>95759296</v>
      </c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9">
        <f t="shared" si="113"/>
        <v>0.12946094545454545</v>
      </c>
      <c r="AZ126" s="27">
        <f t="shared" si="140"/>
        <v>14240704</v>
      </c>
      <c r="BA126" s="27">
        <f t="shared" si="154"/>
        <v>0</v>
      </c>
      <c r="BB126" s="27">
        <f t="shared" si="155"/>
        <v>0</v>
      </c>
      <c r="BC126" s="27">
        <f t="shared" si="155"/>
        <v>0</v>
      </c>
      <c r="BD126" s="27">
        <f t="shared" si="155"/>
        <v>0</v>
      </c>
      <c r="BE126" s="27">
        <f t="shared" si="156"/>
        <v>14240704</v>
      </c>
      <c r="BF126" s="27">
        <f t="shared" si="156"/>
        <v>0</v>
      </c>
      <c r="BG126" s="27">
        <f t="shared" si="156"/>
        <v>0</v>
      </c>
      <c r="BH126" s="27">
        <f t="shared" si="156"/>
        <v>0</v>
      </c>
      <c r="BI126" s="27">
        <f t="shared" si="156"/>
        <v>0</v>
      </c>
      <c r="BJ126" s="27">
        <f t="shared" si="156"/>
        <v>0</v>
      </c>
      <c r="BK126" s="27">
        <f t="shared" si="156"/>
        <v>0</v>
      </c>
      <c r="BL126" s="27">
        <f t="shared" si="156"/>
        <v>0</v>
      </c>
      <c r="BM126" s="27">
        <f t="shared" si="156"/>
        <v>0</v>
      </c>
      <c r="BN126" s="27">
        <f t="shared" si="156"/>
        <v>0</v>
      </c>
      <c r="BO126" s="27">
        <f t="shared" si="156"/>
        <v>0</v>
      </c>
      <c r="BP126" s="27">
        <f t="shared" si="156"/>
        <v>0</v>
      </c>
      <c r="BQ126" s="27"/>
      <c r="BR126" s="27"/>
      <c r="BS126" s="27">
        <f t="shared" si="157"/>
        <v>0</v>
      </c>
      <c r="BT126" s="27">
        <f t="shared" si="158"/>
        <v>0</v>
      </c>
      <c r="BU126" s="29">
        <f t="shared" si="120"/>
        <v>0.77678147272727271</v>
      </c>
      <c r="BV126" s="27">
        <f t="shared" si="146"/>
        <v>85445962</v>
      </c>
      <c r="BW126" s="27"/>
      <c r="BX126" s="27"/>
      <c r="BY126" s="27"/>
      <c r="BZ126" s="27"/>
      <c r="CA126" s="27">
        <f>+'[4]ABRIL 2016'!$H$1301</f>
        <v>85445962</v>
      </c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9">
        <f t="shared" si="122"/>
        <v>0.22321852727272729</v>
      </c>
      <c r="CR126" s="27">
        <f t="shared" si="147"/>
        <v>24554038</v>
      </c>
      <c r="CS126" s="27">
        <f t="shared" si="159"/>
        <v>0</v>
      </c>
      <c r="CT126" s="27">
        <f t="shared" si="159"/>
        <v>0</v>
      </c>
      <c r="CU126" s="27">
        <f t="shared" si="159"/>
        <v>0</v>
      </c>
      <c r="CV126" s="27">
        <f t="shared" si="159"/>
        <v>0</v>
      </c>
      <c r="CW126" s="27">
        <f t="shared" si="159"/>
        <v>24554038</v>
      </c>
      <c r="CX126" s="27">
        <f t="shared" si="159"/>
        <v>0</v>
      </c>
      <c r="CY126" s="27">
        <f t="shared" si="159"/>
        <v>0</v>
      </c>
      <c r="CZ126" s="27">
        <f t="shared" si="160"/>
        <v>0</v>
      </c>
      <c r="DA126" s="27">
        <f t="shared" si="160"/>
        <v>0</v>
      </c>
      <c r="DB126" s="27">
        <f t="shared" si="160"/>
        <v>0</v>
      </c>
      <c r="DC126" s="27">
        <f t="shared" si="161"/>
        <v>0</v>
      </c>
      <c r="DD126" s="27">
        <f t="shared" si="161"/>
        <v>0</v>
      </c>
      <c r="DE126" s="27">
        <f t="shared" si="161"/>
        <v>0</v>
      </c>
      <c r="DF126" s="27">
        <f t="shared" si="162"/>
        <v>0</v>
      </c>
      <c r="DG126" s="27">
        <f t="shared" si="162"/>
        <v>0</v>
      </c>
      <c r="DH126" s="27">
        <f t="shared" si="162"/>
        <v>0</v>
      </c>
      <c r="DI126" s="27"/>
      <c r="DJ126" s="27">
        <f t="shared" si="163"/>
        <v>0</v>
      </c>
      <c r="DK126" s="27">
        <f t="shared" si="163"/>
        <v>0</v>
      </c>
      <c r="DL126" s="27">
        <f t="shared" si="163"/>
        <v>0</v>
      </c>
      <c r="DN126" s="33">
        <f t="shared" si="89"/>
        <v>110000000</v>
      </c>
      <c r="DO126" s="33">
        <f t="shared" si="90"/>
        <v>110000000</v>
      </c>
      <c r="DP126" s="33">
        <f t="shared" si="91"/>
        <v>110000000</v>
      </c>
    </row>
    <row r="127" spans="1:120" ht="40.5" customHeight="1" x14ac:dyDescent="0.25">
      <c r="A127" s="237"/>
      <c r="B127" s="95" t="s">
        <v>350</v>
      </c>
      <c r="C127" s="75" t="s">
        <v>351</v>
      </c>
      <c r="D127" s="24" t="s">
        <v>352</v>
      </c>
      <c r="E127" s="98">
        <v>310</v>
      </c>
      <c r="F127" s="26" t="s">
        <v>353</v>
      </c>
      <c r="G127" s="27">
        <f t="shared" si="153"/>
        <v>270168096</v>
      </c>
      <c r="H127" s="27"/>
      <c r="I127" s="27"/>
      <c r="J127" s="27"/>
      <c r="K127" s="27"/>
      <c r="L127" s="27">
        <v>243168096</v>
      </c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>
        <f>25000000+2000000</f>
        <v>27000000</v>
      </c>
      <c r="AC127" s="29">
        <f t="shared" si="111"/>
        <v>0.49921914910337895</v>
      </c>
      <c r="AD127" s="27">
        <f t="shared" si="139"/>
        <v>134873087</v>
      </c>
      <c r="AE127" s="27"/>
      <c r="AF127" s="27"/>
      <c r="AG127" s="27"/>
      <c r="AH127" s="27"/>
      <c r="AI127" s="27">
        <f>+'[1]JUNIO 2016'!$O$407</f>
        <v>134003087</v>
      </c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>
        <f>+'[1]JUNIO 2016'!$AG$407</f>
        <v>870000</v>
      </c>
      <c r="AY127" s="29">
        <f t="shared" si="113"/>
        <v>0.50078085089662105</v>
      </c>
      <c r="AZ127" s="27">
        <f t="shared" si="140"/>
        <v>135295009</v>
      </c>
      <c r="BA127" s="27">
        <f t="shared" si="154"/>
        <v>0</v>
      </c>
      <c r="BB127" s="27">
        <f t="shared" si="155"/>
        <v>0</v>
      </c>
      <c r="BC127" s="27">
        <f t="shared" si="155"/>
        <v>0</v>
      </c>
      <c r="BD127" s="27">
        <f t="shared" si="155"/>
        <v>0</v>
      </c>
      <c r="BE127" s="27">
        <f t="shared" si="156"/>
        <v>109165009</v>
      </c>
      <c r="BF127" s="27">
        <f t="shared" si="156"/>
        <v>0</v>
      </c>
      <c r="BG127" s="27">
        <f t="shared" si="156"/>
        <v>0</v>
      </c>
      <c r="BH127" s="27">
        <f t="shared" si="156"/>
        <v>0</v>
      </c>
      <c r="BI127" s="27">
        <f t="shared" si="156"/>
        <v>0</v>
      </c>
      <c r="BJ127" s="27">
        <f t="shared" si="156"/>
        <v>0</v>
      </c>
      <c r="BK127" s="27">
        <f t="shared" si="156"/>
        <v>0</v>
      </c>
      <c r="BL127" s="27">
        <f t="shared" si="156"/>
        <v>0</v>
      </c>
      <c r="BM127" s="27">
        <f t="shared" si="156"/>
        <v>0</v>
      </c>
      <c r="BN127" s="27">
        <f t="shared" si="156"/>
        <v>0</v>
      </c>
      <c r="BO127" s="27">
        <f t="shared" si="156"/>
        <v>0</v>
      </c>
      <c r="BP127" s="27">
        <f t="shared" si="156"/>
        <v>0</v>
      </c>
      <c r="BQ127" s="27"/>
      <c r="BR127" s="27"/>
      <c r="BS127" s="27">
        <f t="shared" si="157"/>
        <v>0</v>
      </c>
      <c r="BT127" s="27">
        <f t="shared" si="158"/>
        <v>26130000</v>
      </c>
      <c r="BU127" s="29">
        <f t="shared" si="120"/>
        <v>0.20637504511265461</v>
      </c>
      <c r="BV127" s="27">
        <f t="shared" si="146"/>
        <v>55755953</v>
      </c>
      <c r="BW127" s="27"/>
      <c r="BX127" s="27"/>
      <c r="BY127" s="27"/>
      <c r="BZ127" s="27"/>
      <c r="CA127" s="27">
        <f>+'[1]JUNIO 2016'!$H$405-'[1]JUNIO 2016'!$AG$407</f>
        <v>54885953</v>
      </c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>
        <f>+'[1]JUNIO 2016'!$H$439</f>
        <v>870000</v>
      </c>
      <c r="CQ127" s="29">
        <f t="shared" si="122"/>
        <v>0.79362495488734541</v>
      </c>
      <c r="CR127" s="27">
        <f t="shared" si="147"/>
        <v>214412143</v>
      </c>
      <c r="CS127" s="27">
        <f t="shared" si="159"/>
        <v>0</v>
      </c>
      <c r="CT127" s="27">
        <f t="shared" si="159"/>
        <v>0</v>
      </c>
      <c r="CU127" s="27">
        <f t="shared" si="159"/>
        <v>0</v>
      </c>
      <c r="CV127" s="27">
        <f t="shared" si="159"/>
        <v>0</v>
      </c>
      <c r="CW127" s="27">
        <f t="shared" si="159"/>
        <v>188282143</v>
      </c>
      <c r="CX127" s="27">
        <f t="shared" si="159"/>
        <v>0</v>
      </c>
      <c r="CY127" s="27">
        <f t="shared" si="159"/>
        <v>0</v>
      </c>
      <c r="CZ127" s="27">
        <f t="shared" si="160"/>
        <v>0</v>
      </c>
      <c r="DA127" s="27">
        <f t="shared" si="160"/>
        <v>0</v>
      </c>
      <c r="DB127" s="27">
        <f t="shared" si="160"/>
        <v>0</v>
      </c>
      <c r="DC127" s="27">
        <f t="shared" si="161"/>
        <v>0</v>
      </c>
      <c r="DD127" s="27">
        <f t="shared" si="161"/>
        <v>0</v>
      </c>
      <c r="DE127" s="27">
        <f t="shared" si="161"/>
        <v>0</v>
      </c>
      <c r="DF127" s="27">
        <f t="shared" si="162"/>
        <v>0</v>
      </c>
      <c r="DG127" s="27">
        <f t="shared" si="162"/>
        <v>0</v>
      </c>
      <c r="DH127" s="27">
        <f t="shared" si="162"/>
        <v>0</v>
      </c>
      <c r="DI127" s="27"/>
      <c r="DJ127" s="27">
        <f t="shared" si="163"/>
        <v>0</v>
      </c>
      <c r="DK127" s="27">
        <f t="shared" si="163"/>
        <v>0</v>
      </c>
      <c r="DL127" s="27">
        <f t="shared" si="163"/>
        <v>26130000</v>
      </c>
      <c r="DN127" s="33">
        <f t="shared" si="89"/>
        <v>270168096</v>
      </c>
      <c r="DO127" s="33">
        <f t="shared" si="90"/>
        <v>270168096</v>
      </c>
      <c r="DP127" s="33">
        <f t="shared" si="91"/>
        <v>270168096</v>
      </c>
    </row>
    <row r="128" spans="1:120" s="50" customFormat="1" ht="18.75" customHeight="1" thickBot="1" x14ac:dyDescent="0.3">
      <c r="A128" s="102"/>
      <c r="B128" s="250" t="s">
        <v>354</v>
      </c>
      <c r="C128" s="251"/>
      <c r="D128" s="252"/>
      <c r="E128" s="103"/>
      <c r="F128" s="104"/>
      <c r="G128" s="68">
        <f t="shared" ref="G128:AA128" si="164">SUM(G109:G127)</f>
        <v>12163347921</v>
      </c>
      <c r="H128" s="68">
        <f t="shared" si="164"/>
        <v>0</v>
      </c>
      <c r="I128" s="68">
        <f t="shared" si="164"/>
        <v>0</v>
      </c>
      <c r="J128" s="68">
        <f t="shared" si="164"/>
        <v>6845738942</v>
      </c>
      <c r="K128" s="68">
        <f t="shared" si="164"/>
        <v>171003327</v>
      </c>
      <c r="L128" s="68">
        <f t="shared" si="164"/>
        <v>630168096</v>
      </c>
      <c r="M128" s="68">
        <f t="shared" si="164"/>
        <v>0</v>
      </c>
      <c r="N128" s="68">
        <f t="shared" si="164"/>
        <v>54387</v>
      </c>
      <c r="O128" s="68">
        <f t="shared" si="164"/>
        <v>30665828</v>
      </c>
      <c r="P128" s="68">
        <f t="shared" si="164"/>
        <v>1940856</v>
      </c>
      <c r="Q128" s="68">
        <f t="shared" si="164"/>
        <v>3438802</v>
      </c>
      <c r="R128" s="68">
        <f t="shared" si="164"/>
        <v>345941457</v>
      </c>
      <c r="S128" s="68">
        <f t="shared" si="164"/>
        <v>0</v>
      </c>
      <c r="T128" s="68">
        <f t="shared" si="164"/>
        <v>390000000</v>
      </c>
      <c r="U128" s="68">
        <f t="shared" si="164"/>
        <v>485000000</v>
      </c>
      <c r="V128" s="68">
        <f t="shared" si="164"/>
        <v>0</v>
      </c>
      <c r="W128" s="68">
        <f t="shared" si="164"/>
        <v>0</v>
      </c>
      <c r="X128" s="68">
        <f t="shared" si="164"/>
        <v>0</v>
      </c>
      <c r="Y128" s="68">
        <f t="shared" si="164"/>
        <v>2700000000</v>
      </c>
      <c r="Z128" s="68">
        <f t="shared" si="164"/>
        <v>0</v>
      </c>
      <c r="AA128" s="68">
        <f t="shared" si="164"/>
        <v>559396226</v>
      </c>
      <c r="AC128" s="46">
        <f t="shared" si="111"/>
        <v>0.64293375802384067</v>
      </c>
      <c r="AD128" s="68">
        <f>SUM(AD109:AD127)</f>
        <v>7820226989</v>
      </c>
      <c r="AE128" s="68"/>
      <c r="AF128" s="68">
        <f t="shared" ref="AF128:AX128" si="165">SUM(AF109:AF127)</f>
        <v>0</v>
      </c>
      <c r="AG128" s="68">
        <f t="shared" si="165"/>
        <v>3620876862</v>
      </c>
      <c r="AH128" s="68">
        <f t="shared" si="165"/>
        <v>52220600</v>
      </c>
      <c r="AI128" s="68">
        <f t="shared" si="165"/>
        <v>482730383</v>
      </c>
      <c r="AJ128" s="68">
        <f t="shared" si="165"/>
        <v>0</v>
      </c>
      <c r="AK128" s="68">
        <f t="shared" si="165"/>
        <v>0</v>
      </c>
      <c r="AL128" s="68">
        <f t="shared" si="165"/>
        <v>0</v>
      </c>
      <c r="AM128" s="68">
        <f t="shared" si="165"/>
        <v>0</v>
      </c>
      <c r="AN128" s="68">
        <f t="shared" si="165"/>
        <v>0</v>
      </c>
      <c r="AO128" s="68">
        <f t="shared" si="165"/>
        <v>164856575</v>
      </c>
      <c r="AP128" s="68">
        <f t="shared" si="165"/>
        <v>0</v>
      </c>
      <c r="AQ128" s="68">
        <f t="shared" si="165"/>
        <v>250000000</v>
      </c>
      <c r="AR128" s="68">
        <f t="shared" si="165"/>
        <v>485000000</v>
      </c>
      <c r="AS128" s="68">
        <f t="shared" si="165"/>
        <v>0</v>
      </c>
      <c r="AT128" s="68">
        <f t="shared" si="165"/>
        <v>0</v>
      </c>
      <c r="AU128" s="68">
        <f t="shared" si="165"/>
        <v>0</v>
      </c>
      <c r="AV128" s="68">
        <f t="shared" si="165"/>
        <v>2700000000</v>
      </c>
      <c r="AW128" s="68">
        <f t="shared" si="165"/>
        <v>0</v>
      </c>
      <c r="AX128" s="68">
        <f t="shared" si="165"/>
        <v>64542569</v>
      </c>
      <c r="AY128" s="46">
        <f t="shared" si="113"/>
        <v>0.35706624197615933</v>
      </c>
      <c r="AZ128" s="68">
        <f>SUM(AZ109:AZ127)</f>
        <v>4343120932</v>
      </c>
      <c r="BA128" s="68"/>
      <c r="BB128" s="68">
        <f t="shared" ref="BB128:BT128" si="166">SUM(BB109:BB127)</f>
        <v>0</v>
      </c>
      <c r="BC128" s="68">
        <f t="shared" si="166"/>
        <v>3224862080</v>
      </c>
      <c r="BD128" s="68">
        <f t="shared" si="166"/>
        <v>118782727</v>
      </c>
      <c r="BE128" s="68">
        <f t="shared" si="166"/>
        <v>147437713</v>
      </c>
      <c r="BF128" s="68">
        <f t="shared" si="166"/>
        <v>0</v>
      </c>
      <c r="BG128" s="68">
        <f t="shared" si="166"/>
        <v>54387</v>
      </c>
      <c r="BH128" s="68">
        <f t="shared" si="166"/>
        <v>30665828</v>
      </c>
      <c r="BI128" s="68">
        <f t="shared" si="166"/>
        <v>1940856</v>
      </c>
      <c r="BJ128" s="68">
        <f t="shared" si="166"/>
        <v>3438802</v>
      </c>
      <c r="BK128" s="68">
        <f t="shared" si="166"/>
        <v>181084882</v>
      </c>
      <c r="BL128" s="68">
        <f t="shared" si="166"/>
        <v>0</v>
      </c>
      <c r="BM128" s="68">
        <f t="shared" si="166"/>
        <v>140000000</v>
      </c>
      <c r="BN128" s="68">
        <f t="shared" si="166"/>
        <v>0</v>
      </c>
      <c r="BO128" s="68">
        <f t="shared" si="166"/>
        <v>0</v>
      </c>
      <c r="BP128" s="68">
        <f t="shared" si="166"/>
        <v>0</v>
      </c>
      <c r="BQ128" s="68">
        <f t="shared" si="166"/>
        <v>0</v>
      </c>
      <c r="BR128" s="68">
        <f t="shared" si="166"/>
        <v>0</v>
      </c>
      <c r="BS128" s="68">
        <f t="shared" si="166"/>
        <v>0</v>
      </c>
      <c r="BT128" s="68">
        <f t="shared" si="166"/>
        <v>494853657</v>
      </c>
      <c r="BU128" s="46">
        <f t="shared" si="120"/>
        <v>0.25117302011277393</v>
      </c>
      <c r="BV128" s="68">
        <f t="shared" ref="BV128:CL128" si="167">SUM(BV109:BV127)</f>
        <v>3055104832</v>
      </c>
      <c r="BW128" s="68">
        <f t="shared" si="167"/>
        <v>0</v>
      </c>
      <c r="BX128" s="68">
        <f t="shared" si="167"/>
        <v>0</v>
      </c>
      <c r="BY128" s="68">
        <f t="shared" si="167"/>
        <v>1607594896</v>
      </c>
      <c r="BZ128" s="68">
        <f t="shared" si="167"/>
        <v>45348340</v>
      </c>
      <c r="CA128" s="68">
        <f t="shared" si="167"/>
        <v>327913998</v>
      </c>
      <c r="CB128" s="68">
        <f t="shared" si="167"/>
        <v>0</v>
      </c>
      <c r="CC128" s="68">
        <f t="shared" si="167"/>
        <v>0</v>
      </c>
      <c r="CD128" s="68">
        <f t="shared" si="167"/>
        <v>0</v>
      </c>
      <c r="CE128" s="68">
        <f t="shared" si="167"/>
        <v>0</v>
      </c>
      <c r="CF128" s="68">
        <f t="shared" si="167"/>
        <v>0</v>
      </c>
      <c r="CG128" s="68">
        <f t="shared" si="167"/>
        <v>94856575</v>
      </c>
      <c r="CH128" s="68">
        <f t="shared" si="167"/>
        <v>0</v>
      </c>
      <c r="CI128" s="68">
        <f t="shared" si="167"/>
        <v>113924726</v>
      </c>
      <c r="CJ128" s="68">
        <f t="shared" si="167"/>
        <v>359172189</v>
      </c>
      <c r="CK128" s="68">
        <f t="shared" si="167"/>
        <v>0</v>
      </c>
      <c r="CL128" s="68">
        <f t="shared" si="167"/>
        <v>0</v>
      </c>
      <c r="CM128" s="68"/>
      <c r="CN128" s="68">
        <f>SUM(CN109:CN127)</f>
        <v>452887249</v>
      </c>
      <c r="CO128" s="68">
        <f>SUM(CO109:CO127)</f>
        <v>0</v>
      </c>
      <c r="CP128" s="68">
        <f>SUM(CP109:CP127)</f>
        <v>53406859</v>
      </c>
      <c r="CQ128" s="46">
        <f t="shared" si="122"/>
        <v>0.74882697988722602</v>
      </c>
      <c r="CR128" s="68">
        <f t="shared" ref="CR128:DL128" si="168">SUM(CR109:CR127)</f>
        <v>9108243089</v>
      </c>
      <c r="CS128" s="68">
        <f t="shared" si="168"/>
        <v>0</v>
      </c>
      <c r="CT128" s="68">
        <f t="shared" si="168"/>
        <v>0</v>
      </c>
      <c r="CU128" s="68">
        <f t="shared" si="168"/>
        <v>5238144046</v>
      </c>
      <c r="CV128" s="68">
        <f t="shared" si="168"/>
        <v>125654987</v>
      </c>
      <c r="CW128" s="68">
        <f t="shared" si="168"/>
        <v>302254098</v>
      </c>
      <c r="CX128" s="68">
        <f t="shared" si="168"/>
        <v>0</v>
      </c>
      <c r="CY128" s="68">
        <f t="shared" si="168"/>
        <v>54387</v>
      </c>
      <c r="CZ128" s="68">
        <f t="shared" si="168"/>
        <v>30665828</v>
      </c>
      <c r="DA128" s="68">
        <f t="shared" si="168"/>
        <v>1940856</v>
      </c>
      <c r="DB128" s="68">
        <f t="shared" si="168"/>
        <v>3438802</v>
      </c>
      <c r="DC128" s="68">
        <f t="shared" si="168"/>
        <v>251084882</v>
      </c>
      <c r="DD128" s="68">
        <f t="shared" si="168"/>
        <v>0</v>
      </c>
      <c r="DE128" s="68">
        <f t="shared" si="168"/>
        <v>276075274</v>
      </c>
      <c r="DF128" s="68">
        <f t="shared" si="168"/>
        <v>125827811</v>
      </c>
      <c r="DG128" s="68">
        <f t="shared" si="168"/>
        <v>0</v>
      </c>
      <c r="DH128" s="68">
        <f t="shared" si="168"/>
        <v>0</v>
      </c>
      <c r="DI128" s="68">
        <f t="shared" si="168"/>
        <v>0</v>
      </c>
      <c r="DJ128" s="68">
        <f t="shared" si="168"/>
        <v>2247112751</v>
      </c>
      <c r="DK128" s="68">
        <f t="shared" si="168"/>
        <v>0</v>
      </c>
      <c r="DL128" s="68">
        <f t="shared" si="168"/>
        <v>505989367</v>
      </c>
      <c r="DN128" s="33">
        <f t="shared" si="89"/>
        <v>12163347921</v>
      </c>
      <c r="DO128" s="33">
        <f t="shared" si="90"/>
        <v>12163347921</v>
      </c>
      <c r="DP128" s="33">
        <f t="shared" si="91"/>
        <v>12163347921</v>
      </c>
    </row>
    <row r="129" spans="3:120" ht="5.25" customHeight="1" thickTop="1" x14ac:dyDescent="0.25">
      <c r="C129" s="105"/>
      <c r="D129" s="105"/>
      <c r="E129" s="105"/>
      <c r="F129" s="105"/>
      <c r="G129" s="106"/>
      <c r="H129" s="106"/>
      <c r="I129" s="106"/>
      <c r="J129" s="107"/>
      <c r="K129" s="106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C129" s="109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109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109"/>
      <c r="BV129" s="110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109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N129" s="33">
        <f t="shared" si="89"/>
        <v>0</v>
      </c>
      <c r="DO129" s="33">
        <f t="shared" si="90"/>
        <v>0</v>
      </c>
      <c r="DP129" s="33">
        <f t="shared" si="91"/>
        <v>0</v>
      </c>
    </row>
    <row r="130" spans="3:120" ht="19.5" customHeight="1" x14ac:dyDescent="0.25">
      <c r="C130" s="253" t="s">
        <v>355</v>
      </c>
      <c r="D130" s="254"/>
      <c r="E130" s="255"/>
      <c r="F130" s="111"/>
      <c r="G130" s="54">
        <f t="shared" ref="G130:AA130" si="169">G20+G58+G91+G108+G128</f>
        <v>22003591449</v>
      </c>
      <c r="H130" s="54">
        <f t="shared" si="169"/>
        <v>0</v>
      </c>
      <c r="I130" s="54">
        <f t="shared" si="169"/>
        <v>200000000</v>
      </c>
      <c r="J130" s="54">
        <f t="shared" si="169"/>
        <v>8727003733</v>
      </c>
      <c r="K130" s="54">
        <f t="shared" si="169"/>
        <v>171003327</v>
      </c>
      <c r="L130" s="54">
        <f t="shared" si="169"/>
        <v>2601016897</v>
      </c>
      <c r="M130" s="54">
        <f t="shared" si="169"/>
        <v>138372986</v>
      </c>
      <c r="N130" s="54">
        <f t="shared" si="169"/>
        <v>54387</v>
      </c>
      <c r="O130" s="54">
        <f t="shared" si="169"/>
        <v>30665828</v>
      </c>
      <c r="P130" s="54">
        <f t="shared" si="169"/>
        <v>1940856</v>
      </c>
      <c r="Q130" s="54">
        <f t="shared" si="169"/>
        <v>3438802</v>
      </c>
      <c r="R130" s="54">
        <f t="shared" si="169"/>
        <v>345941457</v>
      </c>
      <c r="S130" s="54">
        <f t="shared" si="169"/>
        <v>1544000000</v>
      </c>
      <c r="T130" s="54">
        <f t="shared" si="169"/>
        <v>1142029623</v>
      </c>
      <c r="U130" s="54">
        <f t="shared" si="169"/>
        <v>486796640</v>
      </c>
      <c r="V130" s="54">
        <f t="shared" si="169"/>
        <v>1104833768</v>
      </c>
      <c r="W130" s="54">
        <f t="shared" si="169"/>
        <v>1262551657</v>
      </c>
      <c r="X130" s="54">
        <f t="shared" si="169"/>
        <v>11169156</v>
      </c>
      <c r="Y130" s="54">
        <f t="shared" si="169"/>
        <v>2700000000</v>
      </c>
      <c r="Z130" s="54">
        <f t="shared" si="169"/>
        <v>204741836</v>
      </c>
      <c r="AA130" s="54">
        <f t="shared" si="169"/>
        <v>1328030496</v>
      </c>
      <c r="AC130" s="112">
        <f>+AD130/G130</f>
        <v>0.67557288770127444</v>
      </c>
      <c r="AD130" s="54">
        <f>AD20+AD58+AD91+AD108+AD128</f>
        <v>14865029815</v>
      </c>
      <c r="AE130" s="54"/>
      <c r="AF130" s="54">
        <f t="shared" ref="AF130:AX130" si="170">AF20+AF58+AF91+AF108+AF128</f>
        <v>200000000</v>
      </c>
      <c r="AG130" s="54">
        <f t="shared" si="170"/>
        <v>4642173051</v>
      </c>
      <c r="AH130" s="54">
        <f t="shared" si="170"/>
        <v>52220600</v>
      </c>
      <c r="AI130" s="54">
        <f t="shared" si="170"/>
        <v>2105771040</v>
      </c>
      <c r="AJ130" s="54">
        <f t="shared" si="170"/>
        <v>38217031</v>
      </c>
      <c r="AK130" s="54">
        <f t="shared" si="170"/>
        <v>0</v>
      </c>
      <c r="AL130" s="54">
        <f t="shared" si="170"/>
        <v>0</v>
      </c>
      <c r="AM130" s="54">
        <f t="shared" si="170"/>
        <v>0</v>
      </c>
      <c r="AN130" s="54">
        <f t="shared" si="170"/>
        <v>0</v>
      </c>
      <c r="AO130" s="54">
        <f t="shared" si="170"/>
        <v>164856575</v>
      </c>
      <c r="AP130" s="54">
        <f t="shared" si="170"/>
        <v>1496388655</v>
      </c>
      <c r="AQ130" s="54">
        <f t="shared" si="170"/>
        <v>775628761</v>
      </c>
      <c r="AR130" s="54">
        <f t="shared" si="170"/>
        <v>486796640</v>
      </c>
      <c r="AS130" s="54">
        <f t="shared" si="170"/>
        <v>777589206</v>
      </c>
      <c r="AT130" s="54">
        <f t="shared" si="170"/>
        <v>822749581</v>
      </c>
      <c r="AU130" s="54">
        <f t="shared" si="170"/>
        <v>0</v>
      </c>
      <c r="AV130" s="54">
        <f t="shared" si="170"/>
        <v>2700000000</v>
      </c>
      <c r="AW130" s="54">
        <f t="shared" si="170"/>
        <v>23350298</v>
      </c>
      <c r="AX130" s="54">
        <f t="shared" si="170"/>
        <v>579288377</v>
      </c>
      <c r="AY130" s="113">
        <f>1-AC130</f>
        <v>0.32442711229872556</v>
      </c>
      <c r="AZ130" s="54">
        <f t="shared" ref="AZ130:BT130" si="171">AZ20+AZ58+AZ91+AZ108+AZ128</f>
        <v>7138561634</v>
      </c>
      <c r="BA130" s="54">
        <f t="shared" si="171"/>
        <v>0</v>
      </c>
      <c r="BB130" s="54">
        <f t="shared" si="171"/>
        <v>0</v>
      </c>
      <c r="BC130" s="54">
        <f t="shared" si="171"/>
        <v>4084830682</v>
      </c>
      <c r="BD130" s="54">
        <f t="shared" si="171"/>
        <v>118782727</v>
      </c>
      <c r="BE130" s="54">
        <f t="shared" si="171"/>
        <v>495245857</v>
      </c>
      <c r="BF130" s="54">
        <f t="shared" si="171"/>
        <v>100155955</v>
      </c>
      <c r="BG130" s="54">
        <f t="shared" si="171"/>
        <v>54387</v>
      </c>
      <c r="BH130" s="54">
        <f t="shared" si="171"/>
        <v>30665828</v>
      </c>
      <c r="BI130" s="54">
        <f t="shared" si="171"/>
        <v>1940856</v>
      </c>
      <c r="BJ130" s="54">
        <f t="shared" si="171"/>
        <v>3438802</v>
      </c>
      <c r="BK130" s="54">
        <f t="shared" si="171"/>
        <v>181084882</v>
      </c>
      <c r="BL130" s="54">
        <f t="shared" si="171"/>
        <v>47611345</v>
      </c>
      <c r="BM130" s="54">
        <f t="shared" si="171"/>
        <v>366400862</v>
      </c>
      <c r="BN130" s="54">
        <f t="shared" si="171"/>
        <v>0</v>
      </c>
      <c r="BO130" s="54">
        <f t="shared" si="171"/>
        <v>327244562</v>
      </c>
      <c r="BP130" s="54">
        <f t="shared" si="171"/>
        <v>439802076</v>
      </c>
      <c r="BQ130" s="54">
        <f t="shared" si="171"/>
        <v>11169156</v>
      </c>
      <c r="BR130" s="54">
        <f t="shared" si="171"/>
        <v>0</v>
      </c>
      <c r="BS130" s="54">
        <f t="shared" si="171"/>
        <v>181391538</v>
      </c>
      <c r="BT130" s="54">
        <f t="shared" si="171"/>
        <v>748742119</v>
      </c>
      <c r="BU130" s="113">
        <f>+BV130/G130</f>
        <v>0.39799734390169278</v>
      </c>
      <c r="BV130" s="54">
        <f t="shared" ref="BV130:CP130" si="172">BV20+BV58+BV91+BV108+BV128</f>
        <v>8757370953</v>
      </c>
      <c r="BW130" s="54">
        <f t="shared" si="172"/>
        <v>0</v>
      </c>
      <c r="BX130" s="54">
        <f t="shared" si="172"/>
        <v>192408143</v>
      </c>
      <c r="BY130" s="54">
        <f t="shared" si="172"/>
        <v>2486179502</v>
      </c>
      <c r="BZ130" s="54">
        <f t="shared" si="172"/>
        <v>45348340</v>
      </c>
      <c r="CA130" s="54">
        <f t="shared" si="172"/>
        <v>1721535991</v>
      </c>
      <c r="CB130" s="54">
        <f t="shared" si="172"/>
        <v>38217031</v>
      </c>
      <c r="CC130" s="54">
        <f t="shared" si="172"/>
        <v>0</v>
      </c>
      <c r="CD130" s="54">
        <f t="shared" si="172"/>
        <v>0</v>
      </c>
      <c r="CE130" s="54">
        <f t="shared" si="172"/>
        <v>0</v>
      </c>
      <c r="CF130" s="54">
        <f t="shared" si="172"/>
        <v>0</v>
      </c>
      <c r="CG130" s="54">
        <f t="shared" si="172"/>
        <v>94856575</v>
      </c>
      <c r="CH130" s="54">
        <f t="shared" si="172"/>
        <v>899475319</v>
      </c>
      <c r="CI130" s="54">
        <f t="shared" si="172"/>
        <v>586037877</v>
      </c>
      <c r="CJ130" s="54">
        <f t="shared" si="172"/>
        <v>360968829</v>
      </c>
      <c r="CK130" s="54">
        <f t="shared" si="172"/>
        <v>689684487</v>
      </c>
      <c r="CL130" s="54">
        <f t="shared" si="172"/>
        <v>723539805</v>
      </c>
      <c r="CM130" s="54">
        <f t="shared" si="172"/>
        <v>0</v>
      </c>
      <c r="CN130" s="54">
        <f t="shared" si="172"/>
        <v>452887249</v>
      </c>
      <c r="CO130" s="54">
        <f t="shared" si="172"/>
        <v>23350298</v>
      </c>
      <c r="CP130" s="54">
        <f t="shared" si="172"/>
        <v>442881507</v>
      </c>
      <c r="CQ130" s="29">
        <f>1-BU130</f>
        <v>0.60200265609830717</v>
      </c>
      <c r="CR130" s="54">
        <f t="shared" ref="CR130:DL130" si="173">CR20+CR58+CR91+CR108+CR128</f>
        <v>13246220496</v>
      </c>
      <c r="CS130" s="54">
        <f t="shared" si="173"/>
        <v>0</v>
      </c>
      <c r="CT130" s="54">
        <f t="shared" si="173"/>
        <v>7591857</v>
      </c>
      <c r="CU130" s="54">
        <f t="shared" si="173"/>
        <v>6240824231</v>
      </c>
      <c r="CV130" s="54">
        <f t="shared" si="173"/>
        <v>125654987</v>
      </c>
      <c r="CW130" s="54">
        <f t="shared" si="173"/>
        <v>879480906</v>
      </c>
      <c r="CX130" s="54">
        <f t="shared" si="173"/>
        <v>100155955</v>
      </c>
      <c r="CY130" s="54">
        <f t="shared" si="173"/>
        <v>54387</v>
      </c>
      <c r="CZ130" s="54">
        <f t="shared" si="173"/>
        <v>30665828</v>
      </c>
      <c r="DA130" s="54">
        <f t="shared" si="173"/>
        <v>1940856</v>
      </c>
      <c r="DB130" s="54">
        <f t="shared" si="173"/>
        <v>3438802</v>
      </c>
      <c r="DC130" s="54">
        <f t="shared" si="173"/>
        <v>251084882</v>
      </c>
      <c r="DD130" s="54">
        <f t="shared" si="173"/>
        <v>644524681</v>
      </c>
      <c r="DE130" s="54">
        <f t="shared" si="173"/>
        <v>555991746</v>
      </c>
      <c r="DF130" s="54">
        <f t="shared" si="173"/>
        <v>125827811</v>
      </c>
      <c r="DG130" s="54">
        <f t="shared" si="173"/>
        <v>415149281</v>
      </c>
      <c r="DH130" s="54">
        <f t="shared" si="173"/>
        <v>539011852</v>
      </c>
      <c r="DI130" s="54">
        <f t="shared" si="173"/>
        <v>11169156</v>
      </c>
      <c r="DJ130" s="54">
        <f t="shared" si="173"/>
        <v>2247112751</v>
      </c>
      <c r="DK130" s="54">
        <f t="shared" si="173"/>
        <v>181391538</v>
      </c>
      <c r="DL130" s="54">
        <f t="shared" si="173"/>
        <v>885148989</v>
      </c>
      <c r="DN130" s="33">
        <f t="shared" si="89"/>
        <v>22003591449</v>
      </c>
      <c r="DO130" s="33">
        <f t="shared" si="90"/>
        <v>22003591449</v>
      </c>
      <c r="DP130" s="33">
        <f t="shared" si="91"/>
        <v>22003591449</v>
      </c>
    </row>
    <row r="131" spans="3:120" ht="5.25" customHeight="1" x14ac:dyDescent="0.25">
      <c r="C131" s="114"/>
      <c r="D131" s="114"/>
      <c r="E131" s="115"/>
      <c r="F131" s="115"/>
      <c r="G131" s="116"/>
      <c r="H131" s="116"/>
      <c r="I131" s="116"/>
      <c r="J131" s="117"/>
      <c r="K131" s="116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C131" s="119"/>
      <c r="AD131" s="120"/>
      <c r="AE131" s="120"/>
      <c r="AF131" s="120"/>
      <c r="AG131" s="120"/>
      <c r="AH131" s="120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9"/>
      <c r="AZ131" s="120"/>
      <c r="BA131" s="120"/>
      <c r="BB131" s="120"/>
      <c r="BC131" s="120"/>
      <c r="BD131" s="120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19"/>
      <c r="BV131" s="122"/>
      <c r="BW131" s="123"/>
      <c r="BX131" s="123"/>
      <c r="BY131" s="123"/>
      <c r="BZ131" s="123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29"/>
      <c r="CR131" s="124"/>
      <c r="CS131" s="120"/>
      <c r="CT131" s="120"/>
      <c r="CU131" s="120"/>
      <c r="CV131" s="120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N131" s="33">
        <f t="shared" si="89"/>
        <v>0</v>
      </c>
      <c r="DO131" s="33">
        <f t="shared" si="90"/>
        <v>0</v>
      </c>
      <c r="DP131" s="33">
        <f t="shared" si="91"/>
        <v>0</v>
      </c>
    </row>
    <row r="132" spans="3:120" ht="16.5" customHeight="1" x14ac:dyDescent="0.25">
      <c r="C132" s="125"/>
      <c r="D132" s="126" t="s">
        <v>356</v>
      </c>
      <c r="E132" s="119">
        <v>111</v>
      </c>
      <c r="F132" s="127"/>
      <c r="G132" s="128">
        <f>SUMIF($E$4:$E$127,"111",$G$4:$G$127)</f>
        <v>4036201186</v>
      </c>
      <c r="H132" s="128">
        <f>SUMIF($E$4:$E$127,"111",$H$4:$H$127)</f>
        <v>0</v>
      </c>
      <c r="I132" s="129">
        <f>SUMIF($E$4:$E$128,"111",$I$4:$I$128)</f>
        <v>0</v>
      </c>
      <c r="J132" s="129">
        <f>SUMIF($E$4:$E$128,"111",$J$4:$J$128)</f>
        <v>3247003733</v>
      </c>
      <c r="K132" s="128">
        <f>SUMIF($E$4:$E$127,"111",$K$4:$K$127)</f>
        <v>171003327</v>
      </c>
      <c r="L132" s="127">
        <f>SUMIF($E$4:$E$128,"111",$L$4:$L$128)</f>
        <v>0</v>
      </c>
      <c r="M132" s="127">
        <f>SUMIF($E$4:$E$127,"111",$M$4:$M$127)</f>
        <v>0</v>
      </c>
      <c r="N132" s="127">
        <f>SUMIF($E$4:$E$127,"111",$N$4:$N$127)</f>
        <v>54387</v>
      </c>
      <c r="O132" s="127">
        <f>SUMIF($E$4:$E$127,"111",$O$4:$O$127)</f>
        <v>30665828</v>
      </c>
      <c r="P132" s="127">
        <f>SUMIF($E$4:$E$127,"111",$P$4:$P$127)</f>
        <v>1940856</v>
      </c>
      <c r="Q132" s="127">
        <f>SUMIF($E$4:$E$127,"111",$Q$4:$Q$127)</f>
        <v>3438802</v>
      </c>
      <c r="R132" s="127">
        <f>SUMIF($E$4:$E$127,"111",$R$4:$R$127)</f>
        <v>250509069</v>
      </c>
      <c r="S132" s="127">
        <f>SUMIF($E$4:$E$127,"111",$S$4:$S$127)</f>
        <v>0</v>
      </c>
      <c r="T132" s="127">
        <f>SUMIF($E$4:$E$127,"111",$T$4:$T$127)</f>
        <v>0</v>
      </c>
      <c r="U132" s="127">
        <f>SUMIF($E$4:$E$127,"111",$U$4:$U$127)</f>
        <v>0</v>
      </c>
      <c r="V132" s="127">
        <f>SUMIF($E$4:$E$127,"111",$V$4:$V$127)</f>
        <v>0</v>
      </c>
      <c r="W132" s="127">
        <f>SUMIF($E$4:$E$127,"111",$W$4:$W$127)</f>
        <v>0</v>
      </c>
      <c r="X132" s="127"/>
      <c r="Y132" s="127">
        <f>SUMIF($E$4:$E$127,"111",$Y$4:$Y$127)</f>
        <v>0</v>
      </c>
      <c r="Z132" s="127">
        <f>SUMIF($E$4:$E$127,"111",$Z$4:$Z$127)</f>
        <v>0</v>
      </c>
      <c r="AA132" s="127">
        <f>SUMIF($E$4:$E$127,"111",$AA$4:$AA$127)</f>
        <v>331585184</v>
      </c>
      <c r="AC132" s="130">
        <f t="shared" ref="AC132:AC141" si="174">+AD132/G132</f>
        <v>0.51937452208062451</v>
      </c>
      <c r="AD132" s="32">
        <f t="shared" ref="AD132:AD138" si="175">SUM(AF132:AX132)</f>
        <v>2096300062</v>
      </c>
      <c r="AE132" s="128">
        <f>SUMIF($E$4:$E$127,"111",$AE$4:$AE$127)</f>
        <v>0</v>
      </c>
      <c r="AF132" s="128">
        <f>SUMIF($E$4:$E$127,"111",$AF$4:$AF$127)</f>
        <v>0</v>
      </c>
      <c r="AG132" s="128">
        <f>SUMIF($E$4:$E$127,"111",$AG$4:$AG$127)</f>
        <v>1955522887</v>
      </c>
      <c r="AH132" s="128">
        <f>SUMIF($E$4:$E$127,"111",$AH$4:$AH$127)</f>
        <v>52220600</v>
      </c>
      <c r="AI132" s="128">
        <f>SUMIF($E$4:$E$127,"111",$AI$4:$AI$127)</f>
        <v>0</v>
      </c>
      <c r="AJ132" s="128">
        <f>SUMIF($E$4:$E$127,"111",$AJ$4:$AJ$127)</f>
        <v>0</v>
      </c>
      <c r="AK132" s="128">
        <f>SUMIF($E$4:$E$127,"111",$AK$4:$AK$127)</f>
        <v>0</v>
      </c>
      <c r="AL132" s="128">
        <f>SUMIF($E$4:$E$127,"111",$AL$4:$AL$127)</f>
        <v>0</v>
      </c>
      <c r="AM132" s="128">
        <f>SUMIF($E$4:$E$127,"111",$AM$4:$AM$127)</f>
        <v>0</v>
      </c>
      <c r="AN132" s="128">
        <f>SUMIF($E$4:$E$127,"111",$AN$4:$AN$127)</f>
        <v>0</v>
      </c>
      <c r="AO132" s="128">
        <f>SUMIF($E$4:$E$127,"111",$AO$4:$AO$127)</f>
        <v>79856575</v>
      </c>
      <c r="AP132" s="128">
        <f>SUMIF($E$4:$E$127,"111",$AP$4:$AP$127)</f>
        <v>0</v>
      </c>
      <c r="AQ132" s="128">
        <f>SUMIF($E$4:$E$127,"111",$AQ$4:$AQ$127)</f>
        <v>0</v>
      </c>
      <c r="AR132" s="128">
        <f>SUMIF($E$4:$E$127,"111",$AR$4:$AR$127)</f>
        <v>0</v>
      </c>
      <c r="AS132" s="128">
        <f>SUMIF($E$4:$E$127,"111",$AS$4:$AS$127)</f>
        <v>0</v>
      </c>
      <c r="AT132" s="128">
        <f>SUMIF($E$4:$E$127,"111",$AS$4:$AS$127)</f>
        <v>0</v>
      </c>
      <c r="AU132" s="128">
        <f>SUMIF($E$4:$E$127,"111",$AU$4:$AU$127)</f>
        <v>0</v>
      </c>
      <c r="AV132" s="128">
        <f>SUMIF($E$4:$E$127,"111",$AV$4:$AV$127)</f>
        <v>0</v>
      </c>
      <c r="AW132" s="128">
        <f>SUMIF($E$4:$E$127,"111",$AW$4:$AW$127)</f>
        <v>0</v>
      </c>
      <c r="AX132" s="128">
        <f>SUMIF($E$4:$E$127,"111",$AX$4:$AX$127)</f>
        <v>8700000</v>
      </c>
      <c r="AY132" s="113">
        <f t="shared" ref="AY132:AY141" si="176">1-AC132</f>
        <v>0.48062547791937549</v>
      </c>
      <c r="AZ132" s="32">
        <f t="shared" ref="AZ132:AZ138" si="177">SUM(BA132:BT132)</f>
        <v>1939901124</v>
      </c>
      <c r="BA132" s="131">
        <f>SUMIF($E$4:$E$127,"111",$BA$4:$BA$127)</f>
        <v>0</v>
      </c>
      <c r="BB132" s="131">
        <f>SUMIF($E$4:$E$127,"111",$BB$4:$BB$127)</f>
        <v>0</v>
      </c>
      <c r="BC132" s="131">
        <f>SUMIF($E$4:$E$127,"111",$BC$4:$BC$127)</f>
        <v>1291480846</v>
      </c>
      <c r="BD132" s="131">
        <f>SUMIF($E$4:$E$127,"111",$BD$4:$BD$127)</f>
        <v>118782727</v>
      </c>
      <c r="BE132" s="131">
        <f>SUMIF($E$4:$E$127,"111",$BE$4:$BE$127)</f>
        <v>0</v>
      </c>
      <c r="BF132" s="131">
        <f>SUMIF($E$4:$E$127,"111",$BF$4:$BF$127)</f>
        <v>0</v>
      </c>
      <c r="BG132" s="131">
        <f>SUMIF($E$4:$E$127,"111",$BG$4:$BG$127)</f>
        <v>54387</v>
      </c>
      <c r="BH132" s="131">
        <f>SUMIF($E$4:$E$128,"111",$BH$4:$BH$128)</f>
        <v>30665828</v>
      </c>
      <c r="BI132" s="131">
        <f>SUMIF($E$4:$E$127,"111",$BI$4:$BI$127)</f>
        <v>1940856</v>
      </c>
      <c r="BJ132" s="131">
        <f>SUMIF($E$4:$E$127,"111",$BJ$4:$BJ$127)</f>
        <v>3438802</v>
      </c>
      <c r="BK132" s="131">
        <f>SUMIF($E$4:$E$127,"111",$BK$4:$BK$127)</f>
        <v>170652494</v>
      </c>
      <c r="BL132" s="131">
        <f>SUMIF($E$4:$E$127,"111",$BL$4:$BL$127)</f>
        <v>0</v>
      </c>
      <c r="BM132" s="131">
        <f>SUMIF($E$4:$E$127,"111",$BM$4:$BM$127)</f>
        <v>0</v>
      </c>
      <c r="BN132" s="131">
        <f>SUMIF($E$4:$E$127,"111",$BN$4:$BN$127)</f>
        <v>0</v>
      </c>
      <c r="BO132" s="131">
        <f>SUMIF($E$4:$E$127,"111",$BO$4:$BO$127)</f>
        <v>0</v>
      </c>
      <c r="BP132" s="131">
        <f>SUMIF($E$4:$E$127,"111",$BP$4:$BP$127)</f>
        <v>0</v>
      </c>
      <c r="BQ132" s="131"/>
      <c r="BR132" s="131">
        <f>SUMIF($E$4:$E$127,"111",$BR$4:$BR$127)</f>
        <v>0</v>
      </c>
      <c r="BS132" s="131">
        <f>SUMIF($E$4:$E$127,"111",$BS$4:$BS$127)</f>
        <v>0</v>
      </c>
      <c r="BT132" s="132">
        <f>SUMIF($E$4:$E$127,"111",$BT$4:$BT$127)</f>
        <v>322885184</v>
      </c>
      <c r="BU132" s="133">
        <f t="shared" ref="BU132:BU141" si="178">+BV132/G132</f>
        <v>0.19898866012572447</v>
      </c>
      <c r="BV132" s="39">
        <f t="shared" ref="BV132:BV137" si="179">SUM(BX132:CP132)</f>
        <v>803158266</v>
      </c>
      <c r="BW132" s="128">
        <f>SUMIF($E$4:$E$127,"111",$BW$4:$BW$127)</f>
        <v>0</v>
      </c>
      <c r="BX132" s="128">
        <f>SUMIF($E$4:$E$127,"111",$BX$4:$BX$127)</f>
        <v>0</v>
      </c>
      <c r="BY132" s="128">
        <f>SUMIF($E$4:$E$127,"111",$BY$4:$BY$127)</f>
        <v>675223351</v>
      </c>
      <c r="BZ132" s="128">
        <f>SUMIF($E$4:$E$127,"111",$BZ$4:$BZ$127)</f>
        <v>45348340</v>
      </c>
      <c r="CA132" s="128">
        <f>SUMIF($E$4:$E$127,"111",$CA$4:$CA$127)</f>
        <v>0</v>
      </c>
      <c r="CB132" s="128">
        <f>SUMIF($E$4:$E$127,"111",$CB$4:$CB$127)</f>
        <v>0</v>
      </c>
      <c r="CC132" s="128">
        <f>SUMIF($E$4:$E$127,"111",$CC$4:$CC$127)</f>
        <v>0</v>
      </c>
      <c r="CD132" s="128">
        <f>SUMIF($E$4:$E$127,"111",$CD$4:$CD$127)</f>
        <v>0</v>
      </c>
      <c r="CE132" s="128">
        <f>SUMIF($E$4:$E$127,"111",$CE$4:$CE$127)</f>
        <v>0</v>
      </c>
      <c r="CF132" s="128">
        <f>SUMIF($E$4:$E$127,"111",$CF$4:$CF$127)</f>
        <v>0</v>
      </c>
      <c r="CG132" s="128">
        <f>SUMIF($E$4:$E$127,"111",$CG$4:$CG$127)</f>
        <v>79856575</v>
      </c>
      <c r="CH132" s="128">
        <f>SUMIF($E$4:$E$127,"111",$CH$4:$CH$127)</f>
        <v>0</v>
      </c>
      <c r="CI132" s="128">
        <f>SUMIF($E$4:$E$127,"111",$CI$4:$CI$127)</f>
        <v>0</v>
      </c>
      <c r="CJ132" s="128">
        <f>SUMIF($E$4:$E$127,"111",$CJ$4:$CJ$127)</f>
        <v>0</v>
      </c>
      <c r="CK132" s="128">
        <f>SUMIF($E$4:$E$127,"111",$CK$4:$CK$127)</f>
        <v>0</v>
      </c>
      <c r="CL132" s="128">
        <f>SUMIF($E$4:$E$127,"111",$CL$4:$CL$127)</f>
        <v>0</v>
      </c>
      <c r="CM132" s="128">
        <f>SUMIF($E$4:$E$127,"111",$CM$4:$CM$127)</f>
        <v>0</v>
      </c>
      <c r="CN132" s="128">
        <f>SUMIF($E$4:$E$127,"111",$CN$4:$CN$127)</f>
        <v>0</v>
      </c>
      <c r="CO132" s="128">
        <f>SUMIF($E$4:$E$127,"111",$CO$4:$CO$127)</f>
        <v>0</v>
      </c>
      <c r="CP132" s="134">
        <f>SUMIF($E$4:$E$127,"111",$CP$4:$CP$127)</f>
        <v>2730000</v>
      </c>
      <c r="CQ132" s="29">
        <f t="shared" ref="CQ132:CQ141" si="180">1-BU132</f>
        <v>0.80101133987427553</v>
      </c>
      <c r="CR132" s="32">
        <f t="shared" ref="CR132:CR138" si="181">SUM(CS132:DL132)</f>
        <v>3233042920</v>
      </c>
      <c r="CS132" s="131">
        <f>SUMIF($E$4:$E$127,"111",$CS$4:$CS$127)</f>
        <v>0</v>
      </c>
      <c r="CT132" s="131">
        <f>SUMIF($E$4:$E$127,"111",$CT$4:$CT$127)</f>
        <v>0</v>
      </c>
      <c r="CU132" s="131">
        <f>SUMIF($E$4:$E$127,"111",$CU$4:$CU$127)</f>
        <v>2571780382</v>
      </c>
      <c r="CV132" s="131">
        <f>SUMIF($E$4:$E$127,"111",$CV$4:$CV$127)</f>
        <v>125654987</v>
      </c>
      <c r="CW132" s="131">
        <f>SUMIF($E$4:$E$127,"111",$CW$4:$CW$127)</f>
        <v>0</v>
      </c>
      <c r="CX132" s="131">
        <f>SUMIF($E$4:$E$127,"111",$CX$4:$CX$127)</f>
        <v>0</v>
      </c>
      <c r="CY132" s="131">
        <f>SUMIF($E$4:$E$127,"111",$CY$4:$CY$127)</f>
        <v>54387</v>
      </c>
      <c r="CZ132" s="135">
        <f>SUMIF($E$4:$E$127,"111",$CZ$4:$CZ$127)</f>
        <v>30665828</v>
      </c>
      <c r="DA132" s="135">
        <f>SUMIF($E$4:$E$127,"111",$DA$4:$DA$127)</f>
        <v>1940856</v>
      </c>
      <c r="DB132" s="135">
        <f>SUMIF($E$4:$E$127,"111",$DB$4:$DB$127)</f>
        <v>3438802</v>
      </c>
      <c r="DC132" s="135">
        <f>SUMIF($E$4:$E$127,"111",$DC$4:$DC$127)</f>
        <v>170652494</v>
      </c>
      <c r="DD132" s="135">
        <f>SUMIF($E$4:$E$127,"111",$DD$4:$DD$127)</f>
        <v>0</v>
      </c>
      <c r="DE132" s="135">
        <f>SUMIF($E$4:$E$127,"111",$DE$4:$DE$127)</f>
        <v>0</v>
      </c>
      <c r="DF132" s="135">
        <f>SUMIF($E$4:$E$127,"111",$DF$4:$DF$127)</f>
        <v>0</v>
      </c>
      <c r="DG132" s="135">
        <f>SUMIF($E$4:$E$127,"111",$DG$4:$DG$127)</f>
        <v>0</v>
      </c>
      <c r="DH132" s="135">
        <f>SUMIF($E$4:$E$127,"111",$DH$4:$DH$127)</f>
        <v>0</v>
      </c>
      <c r="DI132" s="135">
        <f>SUMIF($E$4:$E$127,"111",$DI$4:$DI$127)</f>
        <v>0</v>
      </c>
      <c r="DJ132" s="135">
        <f>SUMIF($E$4:$E$127,"111",$DJ$4:$DJ$127)</f>
        <v>0</v>
      </c>
      <c r="DK132" s="135">
        <f>SUMIF($E$4:$E$127,"111",$DK$4:$DK$127)</f>
        <v>0</v>
      </c>
      <c r="DL132" s="135">
        <f>SUMIF($E$4:$E$127,"111",$DL$4:$DL$127)</f>
        <v>328855184</v>
      </c>
      <c r="DN132" s="33">
        <f t="shared" ref="DN132:DN141" si="182">+G132</f>
        <v>4036201186</v>
      </c>
      <c r="DO132" s="33">
        <f t="shared" ref="DO132:DO141" si="183">+AD132+AZ132</f>
        <v>4036201186</v>
      </c>
      <c r="DP132" s="33">
        <f t="shared" ref="DP132:DP141" si="184">+BV132+CR132</f>
        <v>4036201186</v>
      </c>
    </row>
    <row r="133" spans="3:120" ht="18" customHeight="1" x14ac:dyDescent="0.25">
      <c r="C133" s="136"/>
      <c r="D133" s="126" t="s">
        <v>357</v>
      </c>
      <c r="E133" s="119">
        <v>211</v>
      </c>
      <c r="F133" s="127"/>
      <c r="G133" s="128">
        <f>SUMIF($E$4:$E$127,"211",$G$4:$G$127)</f>
        <v>4274978639</v>
      </c>
      <c r="H133" s="128">
        <f>SUMIF($E$4:$E$127,"211",$H$4:$H$127)</f>
        <v>0</v>
      </c>
      <c r="I133" s="129">
        <f>SUMIF($E$4:$E$128,"211",$I$4:$I$128)</f>
        <v>0</v>
      </c>
      <c r="J133" s="129">
        <f>SUMIF($E$4:$E$128,"211",$J$4:$J$128)</f>
        <v>3598735209</v>
      </c>
      <c r="K133" s="128">
        <f>SUMIF($E$4:$E$127,"211",$K$4:$K$127)</f>
        <v>0</v>
      </c>
      <c r="L133" s="127">
        <f>SUMIF($E$4:$E$127,"211",$L$4:$L$127)</f>
        <v>0</v>
      </c>
      <c r="M133" s="127">
        <f>SUMIF($E$4:$E$127,"211",$M$4:$M$127)</f>
        <v>0</v>
      </c>
      <c r="N133" s="127">
        <f>SUMIF($E$4:$E$127,"211",$N$4:$N$127)</f>
        <v>0</v>
      </c>
      <c r="O133" s="127">
        <f>SUMIF($E$4:$E$127,"211",$O$4:$O$127)</f>
        <v>0</v>
      </c>
      <c r="P133" s="127">
        <f>SUMIF($E$4:$E$127,"211",$P$4:$P$127)</f>
        <v>0</v>
      </c>
      <c r="Q133" s="127">
        <f>SUMIF($E$4:$E$127,"211",$Q$4:$Q$127)</f>
        <v>0</v>
      </c>
      <c r="R133" s="127">
        <f>SUMIF($E$4:$E$127,"211",$R$4:$R$127)</f>
        <v>95432388</v>
      </c>
      <c r="S133" s="127">
        <f>SUMIF($E$4:$E$127,"211",$S$4:$S$127)</f>
        <v>0</v>
      </c>
      <c r="T133" s="127">
        <f>SUMIF($E$4:$E$127,"211",$T$4:$T$127)</f>
        <v>380000000</v>
      </c>
      <c r="U133" s="127">
        <f>SUMIF($E$4:$E$127,"211",$U$4:$U$127)</f>
        <v>0</v>
      </c>
      <c r="V133" s="127">
        <f>SUMIF($E$4:$E$127,"211",$V$4:$V$127)</f>
        <v>0</v>
      </c>
      <c r="W133" s="127">
        <f>SUMIF($E$4:$E$127,"211",$W$4:$W$127)</f>
        <v>0</v>
      </c>
      <c r="X133" s="127"/>
      <c r="Y133" s="127">
        <f>SUMIF($E$4:$E$127,"211",$Y$4:$Y$127)</f>
        <v>0</v>
      </c>
      <c r="Z133" s="127">
        <f>SUMIF($E$4:$E$127,"211",$Z$4:$Z$127)</f>
        <v>0</v>
      </c>
      <c r="AA133" s="127">
        <f>SUMIF($E$4:$E$127,"211",$AA$4:$AA$127)</f>
        <v>200811042</v>
      </c>
      <c r="AC133" s="130">
        <f t="shared" si="174"/>
        <v>0.48078054127558884</v>
      </c>
      <c r="AD133" s="32">
        <f t="shared" si="175"/>
        <v>2055326544</v>
      </c>
      <c r="AE133" s="128">
        <f>SUMIF($E$4:$E$127,"211",$AE$4:$AE$127)</f>
        <v>0</v>
      </c>
      <c r="AF133" s="128">
        <f>SUMIF($E$4:$E$127,"211",$AF$4:$AF$127)</f>
        <v>0</v>
      </c>
      <c r="AG133" s="128">
        <f>SUMIF($E$4:$E$127,"211",$AG$4:$AG$127)</f>
        <v>1665353975</v>
      </c>
      <c r="AH133" s="128">
        <f>SUMIF($E$4:$E$127,"211",$AH$4:$AH$127)</f>
        <v>0</v>
      </c>
      <c r="AI133" s="128">
        <f>SUMIF($E$4:$E$127,"211",$AI$4:$AI$127)</f>
        <v>0</v>
      </c>
      <c r="AJ133" s="128">
        <f>SUMIF($E$4:$E$127,"211",$AJ$4:$AJ$127)</f>
        <v>0</v>
      </c>
      <c r="AK133" s="128">
        <f>SUMIF($E$4:$E$127,"211",$AK$4:$AK$127)</f>
        <v>0</v>
      </c>
      <c r="AL133" s="128">
        <f>SUMIF($E$4:$E$127,"211",$AL$4:$AL$127)</f>
        <v>0</v>
      </c>
      <c r="AM133" s="128">
        <f>SUMIF($E$4:$E$127,"211",$AM$4:$AM$127)</f>
        <v>0</v>
      </c>
      <c r="AN133" s="128">
        <f>SUMIF($E$4:$E$127,"211",$AN$4:$AN$127)</f>
        <v>0</v>
      </c>
      <c r="AO133" s="128">
        <f>SUMIF($E$4:$E$127,"211",$AO$4:$AO$127)</f>
        <v>85000000</v>
      </c>
      <c r="AP133" s="128">
        <f>SUMIF($E$4:$E$127,"211",$AP$4:$AP$127)</f>
        <v>0</v>
      </c>
      <c r="AQ133" s="128">
        <f>SUMIF($E$4:$E$127,"211",$AQ$4:$AQ$127)</f>
        <v>250000000</v>
      </c>
      <c r="AR133" s="128">
        <f>SUMIF($E$4:$E$127,"211",$AR$4:$AR$127)</f>
        <v>0</v>
      </c>
      <c r="AS133" s="128">
        <f>SUMIF($E$4:$E$127,"211",$AS$4:$AS$127)</f>
        <v>0</v>
      </c>
      <c r="AT133" s="128">
        <f>SUMIF($E$4:$E$127,"211",$AT$4:$AT$127)</f>
        <v>0</v>
      </c>
      <c r="AU133" s="128">
        <f>SUMIF($E$4:$E$127,"211",$AU$4:$AU$127)</f>
        <v>0</v>
      </c>
      <c r="AV133" s="128">
        <f>SUMIF($E$4:$E$127,"211",$AV$4:$AV$127)</f>
        <v>0</v>
      </c>
      <c r="AW133" s="128">
        <f>SUMIF($E$4:$E$127,"211",$AW$4:$AW$127)</f>
        <v>0</v>
      </c>
      <c r="AX133" s="128">
        <f>SUMIF($E$4:$E$127,"211",$AX$4:$AX$127)</f>
        <v>54972569</v>
      </c>
      <c r="AY133" s="113">
        <f t="shared" si="176"/>
        <v>0.51921945872441122</v>
      </c>
      <c r="AZ133" s="32">
        <f t="shared" si="177"/>
        <v>2219652095</v>
      </c>
      <c r="BA133" s="131">
        <f>SUMIF($E$4:$E$127,"211",$BA$4:$BA$127)</f>
        <v>0</v>
      </c>
      <c r="BB133" s="131">
        <f>SUMIF($E$4:$E$127,"211",$BB$4:$BB$127)</f>
        <v>0</v>
      </c>
      <c r="BC133" s="131">
        <f>SUMIF($E$4:$E$127,"211",$BC$4:$BC$127)</f>
        <v>1933381234</v>
      </c>
      <c r="BD133" s="131">
        <f>SUMIF($E$4:$E$127,"211",$BD$4:$BD$127)</f>
        <v>0</v>
      </c>
      <c r="BE133" s="131">
        <f>SUMIF($E$4:$E$127,"211",$BE$4:$BE$127)</f>
        <v>0</v>
      </c>
      <c r="BF133" s="131">
        <f>SUMIF($E$4:$E$127,"211",$BF$4:$BF$127)</f>
        <v>0</v>
      </c>
      <c r="BG133" s="131">
        <f>SUMIF($E$4:$E$127,"211",$BG$4:$BG$127)</f>
        <v>0</v>
      </c>
      <c r="BH133" s="131">
        <f>SUMIF($E$4:$E$127,"211",$BH$4:$BH$127)</f>
        <v>0</v>
      </c>
      <c r="BI133" s="131">
        <f>SUMIF($E$4:$E$127,"211",$BI$4:$BI$127)</f>
        <v>0</v>
      </c>
      <c r="BJ133" s="131">
        <f>SUMIF($E$4:$E$127,"211",$BJ$4:$BJ$127)</f>
        <v>0</v>
      </c>
      <c r="BK133" s="131">
        <f>SUMIF($E$4:$E$127,"211",$BK$4:$BK$127)</f>
        <v>10432388</v>
      </c>
      <c r="BL133" s="131">
        <f>SUMIF($E$4:$E$127,"211",$BL$4:$BL$127)</f>
        <v>0</v>
      </c>
      <c r="BM133" s="131">
        <f>SUMIF($E$4:$E$127,"211",$BM$4:$BM$127)</f>
        <v>130000000</v>
      </c>
      <c r="BN133" s="131">
        <f>SUMIF($E$4:$E$127,"211",$BN$4:$BN$127)</f>
        <v>0</v>
      </c>
      <c r="BO133" s="131">
        <f>SUMIF($E$4:$E$127,"211",$BO$4:$BO$127)</f>
        <v>0</v>
      </c>
      <c r="BP133" s="131">
        <f>SUMIF($E$4:$E$127,"211",$BP$4:$BP$127)</f>
        <v>0</v>
      </c>
      <c r="BQ133" s="131"/>
      <c r="BR133" s="131">
        <f>SUMIF($E$4:$E$127,"211",$BR$4:$BR$127)</f>
        <v>0</v>
      </c>
      <c r="BS133" s="131">
        <f>SUMIF($E$4:$E$127,"211",$BS$4:$BS$127)</f>
        <v>0</v>
      </c>
      <c r="BT133" s="132">
        <f>SUMIF($E$4:$E$127,"211",$BT$4:$BT$127)</f>
        <v>145838473</v>
      </c>
      <c r="BU133" s="133">
        <f t="shared" si="178"/>
        <v>0.2599084636034365</v>
      </c>
      <c r="BV133" s="39">
        <f t="shared" si="179"/>
        <v>1111103130</v>
      </c>
      <c r="BW133" s="128">
        <f>SUMIF($E$4:$E$127,"211",$BW$4:$BW$127)</f>
        <v>0</v>
      </c>
      <c r="BX133" s="128">
        <f>SUMIF($E$4:$E$127,"211",$BX$4:$BX$127)</f>
        <v>0</v>
      </c>
      <c r="BY133" s="128">
        <f>SUMIF($E$4:$E$127,"211",$BY$4:$BY$127)</f>
        <v>932371545</v>
      </c>
      <c r="BZ133" s="128">
        <f>SUMIF($E$4:$E$127,"211",$BZ$4:$BZ$127)</f>
        <v>0</v>
      </c>
      <c r="CA133" s="128">
        <f>SUMIF($E$4:$E$127,"211",$CA$4:$CA$127)</f>
        <v>0</v>
      </c>
      <c r="CB133" s="128">
        <f>SUMIF($E$4:$E$127,"211",$CB$4:$CB$127)</f>
        <v>0</v>
      </c>
      <c r="CC133" s="128">
        <f>SUMIF($E$4:$E$127,"211",$CC$4:$CC$127)</f>
        <v>0</v>
      </c>
      <c r="CD133" s="128">
        <f>SUMIF($E$4:$E$127,"211",$CD$4:$CD$127)</f>
        <v>0</v>
      </c>
      <c r="CE133" s="128">
        <f>SUMIF($E$4:$E$127,"211",$CE$4:$CE$127)</f>
        <v>0</v>
      </c>
      <c r="CF133" s="128">
        <f>SUMIF($E$4:$E$127,"211",$CF$4:$CF$127)</f>
        <v>0</v>
      </c>
      <c r="CG133" s="128">
        <f>SUMIF($E$4:$E$127,"211",$CG$4:$CG$127)</f>
        <v>15000000</v>
      </c>
      <c r="CH133" s="128">
        <f>SUMIF($E$4:$E$127,"211",$CH$4:$CH$127)</f>
        <v>0</v>
      </c>
      <c r="CI133" s="128">
        <f>SUMIF($E$4:$E$127,"211",$CI$4:$CI$127)</f>
        <v>113924726</v>
      </c>
      <c r="CJ133" s="128">
        <f>SUMIF($E$4:$E$127,"211",$CJ$4:$CJ$127)</f>
        <v>0</v>
      </c>
      <c r="CK133" s="128">
        <f>SUMIF($E$4:$E$127,"211",$CK$4:$CK$127)</f>
        <v>0</v>
      </c>
      <c r="CL133" s="128">
        <f>SUMIF($E$4:$E$127,"211",$CL$4:$CL$127)</f>
        <v>0</v>
      </c>
      <c r="CM133" s="128">
        <f>SUMIF($E$4:$E$127,"211",$CM$4:$CM$127)</f>
        <v>0</v>
      </c>
      <c r="CN133" s="128">
        <f>SUMIF($E$4:$E$127,"211",$CN$4:$CN$127)</f>
        <v>0</v>
      </c>
      <c r="CO133" s="128">
        <f>SUMIF($E$4:$E$127,"211",$CO$4:$CO$127)</f>
        <v>0</v>
      </c>
      <c r="CP133" s="134">
        <f>SUMIF($E$4:$E$127,"211",$CP$4:$CP$127)</f>
        <v>49806859</v>
      </c>
      <c r="CQ133" s="29">
        <f t="shared" si="180"/>
        <v>0.74009153639656344</v>
      </c>
      <c r="CR133" s="32">
        <f t="shared" ca="1" si="181"/>
        <v>3163875509</v>
      </c>
      <c r="CS133" s="131">
        <f>SUMIF($E$4:$E$127,"211",$CS$4:$CS$127)</f>
        <v>0</v>
      </c>
      <c r="CT133" s="131">
        <f ca="1">SUMIF($E$4:$E$128,"211",$CT$4:$CT$127)</f>
        <v>0</v>
      </c>
      <c r="CU133" s="131">
        <f>SUMIF($E$4:$E$127,"211",$CU$4:$CU$127)</f>
        <v>2666363664</v>
      </c>
      <c r="CV133" s="131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5">
        <f>SUMIF($E$4:$E$127,"211",$CZ$4:$CZ$127)</f>
        <v>0</v>
      </c>
      <c r="DA133" s="135">
        <f>SUMIF($E$4:$E$127,"211",$DA$4:$DA$127)</f>
        <v>0</v>
      </c>
      <c r="DB133" s="135">
        <f>SUMIF($E$4:$E$127,"211",$DB$4:$DB$127)</f>
        <v>0</v>
      </c>
      <c r="DC133" s="135">
        <f>SUMIF($E$4:$E$127,"211",$DC$4:$DC$127)</f>
        <v>80432388</v>
      </c>
      <c r="DD133" s="135">
        <f>SUMIF($E$4:$E$127,"211",$DD$4:$DD$127)</f>
        <v>0</v>
      </c>
      <c r="DE133" s="135">
        <f>SUMIF($E$4:$E$127,"211",$DE$4:$DE$127)</f>
        <v>266075274</v>
      </c>
      <c r="DF133" s="135">
        <f>SUMIF($E$4:$E$127,"211",$DF$4:$DF$127)</f>
        <v>0</v>
      </c>
      <c r="DG133" s="135">
        <f>SUMIF($E$4:$E$127,"211",$DG$4:$DG$127)</f>
        <v>0</v>
      </c>
      <c r="DH133" s="135">
        <f>SUMIF($E$4:$E$127,"211",$DH$4:$DH$127)</f>
        <v>0</v>
      </c>
      <c r="DI133" s="135">
        <f>SUMIF($E$4:$E$127,"211",$DI$4:$DI$127)</f>
        <v>0</v>
      </c>
      <c r="DJ133" s="135">
        <f>SUMIF($E$4:$E$127,"211",$DJ$4:$DJ$127)</f>
        <v>0</v>
      </c>
      <c r="DK133" s="135">
        <f>SUMIF($E$4:$E$127,"211",$DK$4:$DK$127)</f>
        <v>0</v>
      </c>
      <c r="DL133" s="135">
        <f>SUMIF($E$4:$E$127,"211",$DL$4:$DL$127)</f>
        <v>151004183</v>
      </c>
      <c r="DN133" s="33">
        <f t="shared" si="182"/>
        <v>4274978639</v>
      </c>
      <c r="DO133" s="33">
        <f t="shared" si="183"/>
        <v>4274978639</v>
      </c>
      <c r="DP133" s="33">
        <f t="shared" ca="1" si="184"/>
        <v>4274978639</v>
      </c>
    </row>
    <row r="134" spans="3:120" ht="16.5" customHeight="1" x14ac:dyDescent="0.25">
      <c r="C134" s="136"/>
      <c r="D134" s="126" t="s">
        <v>358</v>
      </c>
      <c r="E134" s="119">
        <v>310</v>
      </c>
      <c r="F134" s="127"/>
      <c r="G134" s="128">
        <f>SUMIF($E$4:$E$127,"310",$G$4:$G$128)</f>
        <v>1077368096</v>
      </c>
      <c r="H134" s="128">
        <f>SUMIF($E$4:$E$127,"310",$H$4:$H$127)</f>
        <v>0</v>
      </c>
      <c r="I134" s="129">
        <f>SUMIF($E$4:$E$127,"310",$I$4:$I$127)</f>
        <v>0</v>
      </c>
      <c r="J134" s="129">
        <f>SUMIF($E$4:$E$127,"310",$J$4:$J$127)</f>
        <v>421000000</v>
      </c>
      <c r="K134" s="128">
        <f>SUMIF($E$4:$E$127,"310",$K$4:$K$127)</f>
        <v>0</v>
      </c>
      <c r="L134" s="127">
        <f>SUMIF($E$4:$E$127,"310",$L$4:$L$127)</f>
        <v>586368096</v>
      </c>
      <c r="M134" s="127">
        <f>SUMIF($E$4:$E$127,"310",$M$4:$M$127)</f>
        <v>0</v>
      </c>
      <c r="N134" s="127">
        <f>SUMIF($E$4:$E$127,"310",$N$4:$N$127)</f>
        <v>0</v>
      </c>
      <c r="O134" s="127">
        <f>SUMIF($E$4:$E$127,"310",$O$4:$O$127)</f>
        <v>0</v>
      </c>
      <c r="P134" s="127">
        <f>SUMIF($E$4:$E$127,"310",$P$4:$P$127)</f>
        <v>0</v>
      </c>
      <c r="Q134" s="127">
        <f>SUMIF($E$4:$E$127,"310",$Q$4:$Q$127)</f>
        <v>0</v>
      </c>
      <c r="R134" s="127">
        <f>SUMIF($E$4:$E$127,"310",$R$4:$R$127)</f>
        <v>0</v>
      </c>
      <c r="S134" s="127">
        <f>SUMIF($E$4:$E$127,"310",$S$4:$S$127)</f>
        <v>0</v>
      </c>
      <c r="T134" s="127">
        <f>SUMIF($E$4:$E$127,"310",$T$4:$T$127)</f>
        <v>0</v>
      </c>
      <c r="U134" s="127">
        <f>SUMIF($E$4:$E$127,"310",$U$4:$U$127)</f>
        <v>0</v>
      </c>
      <c r="V134" s="127">
        <f>SUMIF($E$4:$E$127,"310",$V$4:$V$127)</f>
        <v>0</v>
      </c>
      <c r="W134" s="127">
        <f>SUMIF($E$4:$E$119,"310",$W$4:$W$119)</f>
        <v>0</v>
      </c>
      <c r="X134" s="127"/>
      <c r="Y134" s="127">
        <f>SUMIF($E$4:$E$127,"310",$Y$4:$Y$127)</f>
        <v>0</v>
      </c>
      <c r="Z134" s="127">
        <f>SUMIF($E$4:$E$127,"310",$Z$4:$Z$127)</f>
        <v>0</v>
      </c>
      <c r="AA134" s="127">
        <f>SUMIF($E$4:$E$127,"310",$AA$4:$AA$127)</f>
        <v>70000000</v>
      </c>
      <c r="AC134" s="130">
        <f t="shared" si="174"/>
        <v>0.45021723383202911</v>
      </c>
      <c r="AD134" s="39">
        <f t="shared" si="175"/>
        <v>485049684</v>
      </c>
      <c r="AE134" s="128">
        <f>SUMIF($E$4:$E$127,"310",$AE$4:$AE$127)</f>
        <v>0</v>
      </c>
      <c r="AF134" s="128">
        <f>SUMIF($E$4:$E$127,"310",$AF$4:$AF$127)</f>
        <v>0</v>
      </c>
      <c r="AG134" s="128">
        <f>SUMIF($E$4:$E$127,"310",$AG$4:$AG$127)</f>
        <v>50285937</v>
      </c>
      <c r="AH134" s="128">
        <f>SUMIF($E$4:$E$127,"310",$AH$4:$AH$127)</f>
        <v>0</v>
      </c>
      <c r="AI134" s="128">
        <f>SUMIF($E$4:$E$127,"310",$AI$4:$AI$127)</f>
        <v>423283246</v>
      </c>
      <c r="AJ134" s="128">
        <f>SUMIF($E$4:$E$127,"310",$AJ$4:$AJ$127)</f>
        <v>0</v>
      </c>
      <c r="AK134" s="128">
        <f>SUMIF($E$4:$E$127,"310",$AK$4:$AK$127)</f>
        <v>0</v>
      </c>
      <c r="AL134" s="128">
        <f>SUMIF($E$4:$E$127,"310",$AL$4:$AL$127)</f>
        <v>0</v>
      </c>
      <c r="AM134" s="128">
        <f>SUMIF($E$4:$E$127,"310",$AM$4:$AM$127)</f>
        <v>0</v>
      </c>
      <c r="AN134" s="128">
        <f>SUMIF($E$4:$E$127,"310",$AN$4:$AN$127)</f>
        <v>0</v>
      </c>
      <c r="AO134" s="128">
        <f>SUMIF($E$4:$E$127,"310",$AO$4:$AO$127)</f>
        <v>0</v>
      </c>
      <c r="AP134" s="128">
        <f>SUMIF($E$4:$E$127,"310",$AP$4:$AP$127)</f>
        <v>0</v>
      </c>
      <c r="AQ134" s="128">
        <f>SUMIF($E$4:$E$127,"310",$AQ$4:$AQ$127)</f>
        <v>0</v>
      </c>
      <c r="AR134" s="128">
        <f>SUMIF($E$4:$E$127,"310",$AR$4:$AR$127)</f>
        <v>0</v>
      </c>
      <c r="AS134" s="128">
        <f>SUMIF($E$4:$E$127,"310",$AS$4:$AS$127)</f>
        <v>0</v>
      </c>
      <c r="AT134" s="128">
        <f>SUMIF($E$4:$E$127,"310",$AT$4:$AT$127)</f>
        <v>0</v>
      </c>
      <c r="AU134" s="128">
        <f>SUMIF($E$4:$E$127,"310",$AU$4:$AU$127)</f>
        <v>0</v>
      </c>
      <c r="AV134" s="128">
        <f>SUMIF($E$4:$E$127,"310",$AV$4:$AV$127)</f>
        <v>0</v>
      </c>
      <c r="AW134" s="128">
        <f>SUMIF($E$4:$E$127,"310",$AW$4:$AW$127)</f>
        <v>0</v>
      </c>
      <c r="AX134" s="128">
        <f>SUMIF($E$4:$E$127,"310",$AX$4:$AX$127)</f>
        <v>11480501</v>
      </c>
      <c r="AY134" s="113">
        <f t="shared" si="176"/>
        <v>0.54978276616797084</v>
      </c>
      <c r="AZ134" s="32">
        <f t="shared" si="177"/>
        <v>592318412</v>
      </c>
      <c r="BA134" s="131">
        <f>SUMIF($E$4:$E$127,"310",$BA$4:$BA$127)</f>
        <v>0</v>
      </c>
      <c r="BB134" s="131">
        <f>SUMIF($E$4:$E$127,"310",$BB$4:$BB$127)</f>
        <v>0</v>
      </c>
      <c r="BC134" s="131">
        <f>SUMIF($E$4:$E$127,"310",$BC$4:$BC$127)</f>
        <v>370714063</v>
      </c>
      <c r="BD134" s="131">
        <f>SUMIF($E$4:$E$127,"310",$BD$4:$BD$127)</f>
        <v>0</v>
      </c>
      <c r="BE134" s="131">
        <f>SUMIF($E$4:$E$127,"310",$BE$4:$BE$127)</f>
        <v>163084850</v>
      </c>
      <c r="BF134" s="131">
        <f>SUMIF($E$4:$E$127,"310",$BF$4:$BF$127)</f>
        <v>0</v>
      </c>
      <c r="BG134" s="131">
        <f>SUMIF($E$4:$E$127,"310",$BG$4:$BG$127)</f>
        <v>0</v>
      </c>
      <c r="BH134" s="131">
        <f>SUMIF($E$4:$E$127,"310",$BH$4:$BH$127)</f>
        <v>0</v>
      </c>
      <c r="BI134" s="131">
        <f>SUMIF($E$4:$E$127,"310",$BI$4:$BI$127)</f>
        <v>0</v>
      </c>
      <c r="BJ134" s="131">
        <f>SUMIF($E$4:$E$127,"310",$BJ$4:$BJ$127)</f>
        <v>0</v>
      </c>
      <c r="BK134" s="131">
        <f>SUMIF($E$4:$E$127,"310",$BK$4:$BK$127)</f>
        <v>0</v>
      </c>
      <c r="BL134" s="131">
        <f>SUMIF($E$4:$E$127,"310",$BL$4:$BL$127)</f>
        <v>0</v>
      </c>
      <c r="BM134" s="131">
        <f>SUMIF($E$4:$E$127,"310",$BM$4:$BM$127)</f>
        <v>0</v>
      </c>
      <c r="BN134" s="131">
        <f>SUMIF($E$4:$E$127,"310",$BN$4:$BN$127)</f>
        <v>0</v>
      </c>
      <c r="BO134" s="131">
        <f>SUMIF($E$4:$E$127,"310",$BO$4:$BO$127)</f>
        <v>0</v>
      </c>
      <c r="BP134" s="131">
        <f>SUMIF($E$4:$E$127,"310",$BP$4:$BP$127)</f>
        <v>0</v>
      </c>
      <c r="BQ134" s="131">
        <f>SUMIF($E$4:$E$127,"310",$BP$4:$BP$127)</f>
        <v>0</v>
      </c>
      <c r="BR134" s="131">
        <f>SUMIF($E$4:$E$127,"310",$BR$4:$BR$127)</f>
        <v>0</v>
      </c>
      <c r="BS134" s="131">
        <f>SUMIF($E$4:$E$127,"310",$BS$4:$BS$127)</f>
        <v>0</v>
      </c>
      <c r="BT134" s="132">
        <f>SUMIF($E$4:$E$127,"310",$BT$4:$BT$127)</f>
        <v>58519499</v>
      </c>
      <c r="BU134" s="133">
        <f t="shared" si="178"/>
        <v>0.27249626296711871</v>
      </c>
      <c r="BV134" s="39">
        <f t="shared" si="179"/>
        <v>293578780</v>
      </c>
      <c r="BW134" s="128">
        <f>SUMIF($E$4:$E$127,"310",$BW$4:$BW$127)</f>
        <v>0</v>
      </c>
      <c r="BX134" s="128">
        <f>SUMIF($E$4:$E$127,"310",$BX$4:$BX$127)</f>
        <v>0</v>
      </c>
      <c r="BY134" s="128">
        <f>SUMIF($E$4:$E$127,"310",$BY$4:$BY$127)</f>
        <v>50285937</v>
      </c>
      <c r="BZ134" s="128">
        <f>SUMIF($E$4:$E$127,"310",$BZ$4:$BZ$127)</f>
        <v>0</v>
      </c>
      <c r="CA134" s="128">
        <f>SUMIF($E$4:$E$127,"310",$CA$4:$CA$127)</f>
        <v>231868006</v>
      </c>
      <c r="CB134" s="128">
        <f>SUMIF($E$4:$E$127,"310",$CB$4:$CB$127)</f>
        <v>0</v>
      </c>
      <c r="CC134" s="128">
        <f>SUMIF($E$4:$E$127,"310",$CC$4:$CC$127)</f>
        <v>0</v>
      </c>
      <c r="CD134" s="128">
        <f>SUMIF($E$4:$E$127,"310",$CD$4:$CD$127)</f>
        <v>0</v>
      </c>
      <c r="CE134" s="128">
        <f>SUMIF($E$4:$E$127,"310",$CE$4:$CE$127)</f>
        <v>0</v>
      </c>
      <c r="CF134" s="128">
        <f>SUMIF($E$4:$E$127,"310",$CF$4:$CF$127)</f>
        <v>0</v>
      </c>
      <c r="CG134" s="128">
        <f>SUMIF($E$4:$E$127,"310",$CG$4:$CG$127)</f>
        <v>0</v>
      </c>
      <c r="CH134" s="128">
        <f>SUMIF($E$4:$E$127,"310",$CH$4:$CH$127)</f>
        <v>0</v>
      </c>
      <c r="CI134" s="128">
        <f>SUMIF($E$4:$E$127,"310",$CI$4:$CI$127)</f>
        <v>0</v>
      </c>
      <c r="CJ134" s="128">
        <f>SUMIF($E$4:$E$127,"310",$CJ$4:$CJ$127)</f>
        <v>0</v>
      </c>
      <c r="CK134" s="128">
        <f>SUMIF($E$4:$E$127,"310",$CK$4:$CK$127)</f>
        <v>0</v>
      </c>
      <c r="CL134" s="128">
        <f>SUMIF($E$4:$E$127,"310",$CL$4:$CL$127)</f>
        <v>0</v>
      </c>
      <c r="CM134" s="128">
        <f>SUMIF($E$4:$E$127,"310",$CM$4:$CM$127)</f>
        <v>0</v>
      </c>
      <c r="CN134" s="128">
        <f>SUMIF($E$4:$E$127,"310",$CN$4:$CN$127)</f>
        <v>0</v>
      </c>
      <c r="CO134" s="128">
        <f>SUMIF($E$4:$E$127,"310",$CO$4:$CO$127)</f>
        <v>0</v>
      </c>
      <c r="CP134" s="134">
        <f>SUMIF($E$4:$E$127,"310",$CP$4:$CP$127)</f>
        <v>11424837</v>
      </c>
      <c r="CQ134" s="29">
        <f t="shared" si="180"/>
        <v>0.72750373703288129</v>
      </c>
      <c r="CR134" s="32">
        <f t="shared" si="181"/>
        <v>783789316</v>
      </c>
      <c r="CS134" s="131">
        <f>SUMIF($E$4:$E$127,"310",$CS$4:$CS$127)</f>
        <v>0</v>
      </c>
      <c r="CT134" s="131">
        <f>SUMIF($E$4:$E$127,"310",$CT$4:$CT$127)</f>
        <v>0</v>
      </c>
      <c r="CU134" s="131">
        <f>SUMIF($E$4:$E$127,"310",$CU$4:$CU$127)</f>
        <v>370714063</v>
      </c>
      <c r="CV134" s="131">
        <f>SUMIF($E$4:$E$127,"310",$CV$4:$CV$127)</f>
        <v>0</v>
      </c>
      <c r="CW134" s="131">
        <f>SUMIF($E$4:$E$127,"310",$CW$4:$CW$127)</f>
        <v>354500090</v>
      </c>
      <c r="CX134" s="131">
        <f>SUMIF($E$4:$E$127,"310",$CX$4:$CX$127)</f>
        <v>0</v>
      </c>
      <c r="CY134" s="131">
        <f>SUMIF($E$4:$E$127,"310",$CY$4:$CY$127)</f>
        <v>0</v>
      </c>
      <c r="CZ134" s="135">
        <f>SUMIF($E$4:$E$127,"310",$CZ$4:$CZ$127)</f>
        <v>0</v>
      </c>
      <c r="DA134" s="135">
        <f>SUMIF($E$4:$E$127,"310",$DA$4:$DA$127)</f>
        <v>0</v>
      </c>
      <c r="DB134" s="135">
        <f>SUMIF($E$4:$E$127,"310",$DB$4:$DB$127)</f>
        <v>0</v>
      </c>
      <c r="DC134" s="135">
        <f>SUMIF($E$4:$E$127,"310",$DC$4:$DC$127)</f>
        <v>0</v>
      </c>
      <c r="DD134" s="135">
        <f>SUMIF($E$4:$E$127,"310",$DD$4:$DD$127)</f>
        <v>0</v>
      </c>
      <c r="DE134" s="135">
        <f>SUMIF($E$4:$E$127,"310",$DE$4:$DE$127)</f>
        <v>0</v>
      </c>
      <c r="DF134" s="135">
        <f>SUMIF($E$4:$E$127,"310",$DF$4:$DF$127)</f>
        <v>0</v>
      </c>
      <c r="DG134" s="135">
        <f>SUMIF($E$4:$E$127,"310",$DG$4:$DG$127)</f>
        <v>0</v>
      </c>
      <c r="DH134" s="135">
        <f>SUMIF($E$4:$E$127,"310",$DH$4:$DH$127)</f>
        <v>0</v>
      </c>
      <c r="DI134" s="135">
        <f>SUMIF($E$4:$E$127,"310",$DI$4:$DI$127)</f>
        <v>0</v>
      </c>
      <c r="DJ134" s="135">
        <f>SUMIF($E$4:$E$127,"310",$DJ$4:$DJ$127)</f>
        <v>0</v>
      </c>
      <c r="DK134" s="135">
        <f>SUMIF($E$4:$E$127,"310",$DK$4:$DK$127)</f>
        <v>0</v>
      </c>
      <c r="DL134" s="135">
        <f>SUMIF($E$4:$E$127,"310",$DL$4:$DL$127)</f>
        <v>58575163</v>
      </c>
      <c r="DN134" s="33">
        <f t="shared" si="182"/>
        <v>1077368096</v>
      </c>
      <c r="DO134" s="33">
        <f t="shared" si="183"/>
        <v>1077368096</v>
      </c>
      <c r="DP134" s="33">
        <f t="shared" si="184"/>
        <v>1077368096</v>
      </c>
    </row>
    <row r="135" spans="3:120" x14ac:dyDescent="0.25">
      <c r="C135" s="137"/>
      <c r="D135" s="126" t="s">
        <v>359</v>
      </c>
      <c r="E135" s="119">
        <v>410</v>
      </c>
      <c r="F135" s="127"/>
      <c r="G135" s="128">
        <f>SUMIF($E$4:$E$127,"410",$G$4:$G$127)</f>
        <v>4334106780</v>
      </c>
      <c r="H135" s="128">
        <f>SUMIF($E$4:$E$127,"410",$H$4:$H$127)</f>
        <v>0</v>
      </c>
      <c r="I135" s="129">
        <f>SUMIF($E$4:$E$127,"410",$I$4:$I$127)</f>
        <v>0</v>
      </c>
      <c r="J135" s="129">
        <f>SUMIF($E$4:$E$128,"410",$J$4:$J$128)</f>
        <v>1163096695</v>
      </c>
      <c r="K135" s="128">
        <f>SUMIF($E$4:$E$127,"410",$K$4:$K$127)</f>
        <v>0</v>
      </c>
      <c r="L135" s="127">
        <f>SUMIF($E$4:$E$127,"410",$L$4:$L$127)</f>
        <v>0</v>
      </c>
      <c r="M135" s="127">
        <f>SUMIF($E$4:$E$127,"410",$M$4:$M$127)</f>
        <v>74368590</v>
      </c>
      <c r="N135" s="127">
        <f>SUMIF($E$4:$E$127,"410",$N$4:$N$127)</f>
        <v>0</v>
      </c>
      <c r="O135" s="127">
        <f>SUMIF($E$4:$E$127,"410",$O$4:$O$127)</f>
        <v>0</v>
      </c>
      <c r="P135" s="127">
        <f>SUMIF($E$4:$E$127,"410",$P$4:$P$127)</f>
        <v>0</v>
      </c>
      <c r="Q135" s="127">
        <f>SUMIF($E$4:$E$127,"410",$Q$4:$Q$127)</f>
        <v>0</v>
      </c>
      <c r="R135" s="127">
        <f>SUMIF($E$4:$E$127,"410",$R$4:$R$127)</f>
        <v>0</v>
      </c>
      <c r="S135" s="127">
        <f>SUMIF($E$4:$E$127,"410",$S$4:$S$127)</f>
        <v>1344000000</v>
      </c>
      <c r="T135" s="127">
        <f>SUMIF($E$4:$E$127,"410",$T$4:$T$127)</f>
        <v>387696735</v>
      </c>
      <c r="U135" s="127">
        <f>SUMIF($E$4:$E$127,"410",$U$4:$U$127)</f>
        <v>0</v>
      </c>
      <c r="V135" s="127">
        <f>SUMIF($E$4:$E$119,"410",$V$4:$V$119)</f>
        <v>1054833768</v>
      </c>
      <c r="W135" s="127">
        <f>SUMIF($E$4:$E$119,"410",$W$4:$W$119)</f>
        <v>0</v>
      </c>
      <c r="X135" s="127">
        <f>SUMIF($E$4:$E$127,"410",$X$4:$X$127)</f>
        <v>11169156</v>
      </c>
      <c r="Y135" s="127">
        <f>SUMIF($E$4:$E$127,"410",$Y$4:$Y$127)</f>
        <v>0</v>
      </c>
      <c r="Z135" s="127">
        <f>SUMIF($E$4:$E$127,"410",$Z$4:$Z$127)</f>
        <v>204741836</v>
      </c>
      <c r="AA135" s="127">
        <f>SUMIF($E$4:$E$127,"410",$AA$4:$AA$127)</f>
        <v>94200000</v>
      </c>
      <c r="AC135" s="130">
        <f t="shared" si="174"/>
        <v>0.70007118052592143</v>
      </c>
      <c r="AD135" s="32">
        <f t="shared" si="175"/>
        <v>3034183250</v>
      </c>
      <c r="AE135" s="128">
        <f>SUMIF($E$4:$E$127,"410",$AE$4:$AE$127)</f>
        <v>0</v>
      </c>
      <c r="AF135" s="128">
        <f>SUMIF($E$4:$E$127,"410",$AF$4:$AF$127)</f>
        <v>0</v>
      </c>
      <c r="AG135" s="128">
        <f>SUMIF($E$4:$E$127,"410",$AG$4:$AG$127)</f>
        <v>702842156</v>
      </c>
      <c r="AH135" s="128">
        <f>SUMIF($E$4:$E$127,"410",$AH$4:$AH$127)</f>
        <v>0</v>
      </c>
      <c r="AI135" s="128">
        <f>SUMIF($E$4:$E$127,"410",$AI$4:$AI$127)</f>
        <v>0</v>
      </c>
      <c r="AJ135" s="128">
        <f>SUMIF($E$4:$E$127,"410",$AJ$4:$AJ$127)</f>
        <v>0</v>
      </c>
      <c r="AK135" s="128">
        <f>SUMIF($E$4:$E$127,"410",$AK$4:$AK$127)</f>
        <v>0</v>
      </c>
      <c r="AL135" s="128">
        <f>SUMIF($E$4:$E$127,"410",$AL$4:$AL$127)</f>
        <v>0</v>
      </c>
      <c r="AM135" s="128">
        <f>SUMIF($E$4:$E$127,"410",$AM$4:$AM$127)</f>
        <v>0</v>
      </c>
      <c r="AN135" s="128">
        <f>SUMIF($E$4:$E$127,"410",$AN$4:$AN$127)</f>
        <v>0</v>
      </c>
      <c r="AO135" s="128">
        <f>SUMIF($E$4:$E$127,"410",$AO$4:$AO$127)</f>
        <v>0</v>
      </c>
      <c r="AP135" s="128">
        <f>SUMIF($E$4:$E$127,"410",$AP$4:$AP$127)</f>
        <v>1300000000</v>
      </c>
      <c r="AQ135" s="128">
        <f>SUMIF($E$4:$E$127,"410",$AQ$4:$AQ$127)</f>
        <v>216735177</v>
      </c>
      <c r="AR135" s="128">
        <f>SUMIF($E$4:$E$127,"410",$AR$4:$AR$127)</f>
        <v>0</v>
      </c>
      <c r="AS135" s="128">
        <f>SUMIF($E$4:$E$127,"410",$AS$4:$AS$127)</f>
        <v>747530233</v>
      </c>
      <c r="AT135" s="128">
        <f>SUMIF($E$4:$E$127,"410",$AT$4:$AT$127)</f>
        <v>0</v>
      </c>
      <c r="AU135" s="128">
        <f>SUMIF($E$4:$E$127,"410",$AU$4:$AU$127)</f>
        <v>0</v>
      </c>
      <c r="AV135" s="128">
        <f>SUMIF($E$4:$E$127,"410",$AV$4:$AV$127)</f>
        <v>0</v>
      </c>
      <c r="AW135" s="128">
        <f>SUMIF($E$4:$E$127,"410",$AW$4:$AW$127)</f>
        <v>23350298</v>
      </c>
      <c r="AX135" s="128">
        <f>SUMIF($E$4:$E$127,"410",$AX$4:$AX$127)</f>
        <v>43725386</v>
      </c>
      <c r="AY135" s="113">
        <f t="shared" si="176"/>
        <v>0.29992881947407857</v>
      </c>
      <c r="AZ135" s="32">
        <f t="shared" si="177"/>
        <v>1299923530</v>
      </c>
      <c r="BA135" s="131">
        <f>SUMIF($E$4:$E$127,"410",$BA$4:$BA$127)</f>
        <v>0</v>
      </c>
      <c r="BB135" s="131">
        <f>SUMIF($E$4:$E$127,"410",$BB$4:$BB$127)</f>
        <v>0</v>
      </c>
      <c r="BC135" s="131">
        <f>SUMIF($E$4:$E$127,"410",$BC$4:$BC$127)</f>
        <v>460254539</v>
      </c>
      <c r="BD135" s="131">
        <f>SUMIF($E$4:$E$127,"410",$BD$4:$BD$127)</f>
        <v>0</v>
      </c>
      <c r="BE135" s="131">
        <f>SUMIF($E$4:$E$127,"410",$BE$4:$BE$127)</f>
        <v>0</v>
      </c>
      <c r="BF135" s="131">
        <f>SUMIF($E$4:$E$127,"410",$BF$4:$BF$127)</f>
        <v>74368590</v>
      </c>
      <c r="BG135" s="131">
        <f>SUMIF($E$4:$E$127,"410",$BG$4:$BG$127)</f>
        <v>0</v>
      </c>
      <c r="BH135" s="131">
        <f>SUMIF($E$4:$E$127,"410",$BH$4:$BH$127)</f>
        <v>0</v>
      </c>
      <c r="BI135" s="131">
        <f>SUMIF($E$4:$E$127,"410",$BI$4:$BI$127)</f>
        <v>0</v>
      </c>
      <c r="BJ135" s="131">
        <f>SUMIF($E$4:$E$127,"410",$BJ$4:$BJ$127)</f>
        <v>0</v>
      </c>
      <c r="BK135" s="131">
        <f>SUMIF($E$4:$E$127,"410",$BK$4:$BK$127)</f>
        <v>0</v>
      </c>
      <c r="BL135" s="131">
        <f>SUMIF($E$4:$E$127,"410",$BL$4:$BL$127)</f>
        <v>44000000</v>
      </c>
      <c r="BM135" s="131">
        <f>SUMIF($E$4:$E$127,"410",$BM$4:$BM$127)</f>
        <v>170961558</v>
      </c>
      <c r="BN135" s="131">
        <f>SUMIF($E$4:$E$127,"410",$BN$4:$BN$127)</f>
        <v>0</v>
      </c>
      <c r="BO135" s="131">
        <f>SUMIF($E$4:$E$127,"410",$BO$4:$BO$127)</f>
        <v>307303535</v>
      </c>
      <c r="BP135" s="131">
        <f>SUMIF($E$4:$E$127,"510",$BP$4:$BP$127)</f>
        <v>0</v>
      </c>
      <c r="BQ135" s="131">
        <f>SUMIF($E$4:$E$127,"410",$BQ$4:$BQ$127)</f>
        <v>11169156</v>
      </c>
      <c r="BR135" s="131">
        <f>SUMIF($E$4:$E$127,"410",$BR$4:$BR$127)</f>
        <v>0</v>
      </c>
      <c r="BS135" s="131">
        <f>SUMIF($E$4:$E$127,"410",$BS$4:$BS$127)</f>
        <v>181391538</v>
      </c>
      <c r="BT135" s="132">
        <f>SUMIF($E$4:$E$127,"410",$BT$4:$BT$127)</f>
        <v>50474614</v>
      </c>
      <c r="BU135" s="133">
        <f t="shared" si="178"/>
        <v>0.5147910419041406</v>
      </c>
      <c r="BV135" s="32">
        <f t="shared" si="179"/>
        <v>2231159345</v>
      </c>
      <c r="BW135" s="128">
        <f>SUMIF($E$4:$E$127,"410",$BW$4:$BW$127)</f>
        <v>0</v>
      </c>
      <c r="BX135" s="128">
        <f>SUMIF($E$4:$E$127,"410",$BX$4:$BX$127)</f>
        <v>0</v>
      </c>
      <c r="BY135" s="128">
        <f>SUMIF($E$4:$E$127,"410",$BY$4:$BY$127)</f>
        <v>560130573</v>
      </c>
      <c r="BZ135" s="128">
        <f>SUMIF($E$4:$E$127,"410",$BZ$4:$BZ$127)</f>
        <v>0</v>
      </c>
      <c r="CA135" s="128">
        <f>SUMIF($E$4:$E$127,"410",$CA$4:$CA$127)</f>
        <v>0</v>
      </c>
      <c r="CB135" s="128">
        <f>SUMIF($E$4:$E$127,"410",$CB$4:$CB$127)</f>
        <v>0</v>
      </c>
      <c r="CC135" s="128">
        <f>SUMIF($E$4:$E$127,"410",$CC$4:$CC$127)</f>
        <v>0</v>
      </c>
      <c r="CD135" s="128">
        <f>SUMIF($E$4:$E$127,"410",$CD$4:$CD$127)</f>
        <v>0</v>
      </c>
      <c r="CE135" s="128">
        <f>SUMIF($E$4:$E$127,"410",$CE$4:$CE$127)</f>
        <v>0</v>
      </c>
      <c r="CF135" s="128">
        <f>SUMIF($E$4:$E$127,"410",$CF$4:$CF$127)</f>
        <v>0</v>
      </c>
      <c r="CG135" s="128">
        <f>SUMIF($E$4:$E$127,"410",$CG$4:$CG$127)</f>
        <v>0</v>
      </c>
      <c r="CH135" s="128">
        <f>SUMIF($E$4:$E$127,"410",$CH$4:$CH$127)</f>
        <v>736592397</v>
      </c>
      <c r="CI135" s="128">
        <f>SUMIF($E$4:$E$127,"410",$CI$4:$CI$127)</f>
        <v>216735177</v>
      </c>
      <c r="CJ135" s="128">
        <f>SUMIF($E$4:$E$127,"410",$CJ$4:$CJ$127)</f>
        <v>0</v>
      </c>
      <c r="CK135" s="128">
        <f>SUMIF($E$4:$E$127,"410",$CK$4:$CK$127)</f>
        <v>659625514</v>
      </c>
      <c r="CL135" s="128">
        <f>SUMIF($E$4:$E$127,"410",$CL$4:$CL$127)</f>
        <v>0</v>
      </c>
      <c r="CM135" s="128">
        <f>SUMIF($E$4:$E$127,"410",$CM$4:$CM$127)</f>
        <v>0</v>
      </c>
      <c r="CN135" s="128">
        <f>SUMIF($E$4:$E$127,"410",$CN$4:$CN$127)</f>
        <v>0</v>
      </c>
      <c r="CO135" s="128">
        <f>SUMIF($E$4:$E$127,"410",$CO$4:$CO$127)</f>
        <v>23350298</v>
      </c>
      <c r="CP135" s="134">
        <f>SUMIF($E$4:$E$127,"410",$CP$4:$CP$127)</f>
        <v>34725386</v>
      </c>
      <c r="CQ135" s="29">
        <f t="shared" si="180"/>
        <v>0.4852089580958594</v>
      </c>
      <c r="CR135" s="32">
        <f t="shared" si="181"/>
        <v>2102947435</v>
      </c>
      <c r="CS135" s="131">
        <f>SUMIF($E$4:$E$127,"410",$CS$4:$CS$127)</f>
        <v>0</v>
      </c>
      <c r="CT135" s="131">
        <f>SUMIF($E$4:$E$127,"410",$CT$4:$CT$127)</f>
        <v>0</v>
      </c>
      <c r="CU135" s="131">
        <f>SUMIF($E$4:$E$127,"410",$CU$4:$CU$127)</f>
        <v>602966122</v>
      </c>
      <c r="CV135" s="131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74368590</v>
      </c>
      <c r="CY135" s="131">
        <f>SUMIF($E$4:$E$127,"410",$CY$4:$CY$127)</f>
        <v>0</v>
      </c>
      <c r="CZ135" s="135">
        <f>SUMIF($E$4:$E$127,"410",$CZ$4:$CZ$127)</f>
        <v>0</v>
      </c>
      <c r="DA135" s="135">
        <f>SUMIF($E$4:$E$127,"410",$DA$4:$DA$127)</f>
        <v>0</v>
      </c>
      <c r="DB135" s="135">
        <f>SUMIF($E$4:$E$127,"410",$DB$4:$DB$127)</f>
        <v>0</v>
      </c>
      <c r="DC135" s="135">
        <f>SUMIF($E$4:$E$127,"410",$DC$4:$DC$127)</f>
        <v>0</v>
      </c>
      <c r="DD135" s="135">
        <f>SUMIF($E$4:$E$127,"410",$DD$4:$DD$127)</f>
        <v>607407603</v>
      </c>
      <c r="DE135" s="135">
        <f>SUMIF($E$4:$E$127,"410",$DE$4:$DE$127)</f>
        <v>170961558</v>
      </c>
      <c r="DF135" s="135">
        <f>SUMIF($E$4:$E$127,"410",$DF$4:$DF$127)</f>
        <v>0</v>
      </c>
      <c r="DG135" s="135">
        <f>SUMIF($E$4:$E$127,"410",$DG$4:$DG$127)</f>
        <v>395208254</v>
      </c>
      <c r="DH135" s="135">
        <f>SUMIF($E$4:$E$127,"410",$DH$4:$DH$127)</f>
        <v>0</v>
      </c>
      <c r="DI135" s="135">
        <f>SUMIF($E$4:$E$127,"410",$DI$4:$DI$127)</f>
        <v>11169156</v>
      </c>
      <c r="DJ135" s="135">
        <f>SUMIF($E$4:$E$127,"410",$DJ$4:$DJ$127)</f>
        <v>0</v>
      </c>
      <c r="DK135" s="135">
        <f>SUMIF($E$4:$E$127,"410",$DK$4:$DK$127)</f>
        <v>181391538</v>
      </c>
      <c r="DL135" s="135">
        <f>SUMIF($E$4:$E$127,"410",$DL$4:$DL$127)</f>
        <v>59474614</v>
      </c>
      <c r="DN135" s="33">
        <f t="shared" si="182"/>
        <v>4334106780</v>
      </c>
      <c r="DO135" s="33">
        <f t="shared" si="183"/>
        <v>4334106780</v>
      </c>
      <c r="DP135" s="33">
        <f t="shared" si="184"/>
        <v>4334106780</v>
      </c>
    </row>
    <row r="136" spans="3:120" ht="14.25" customHeight="1" x14ac:dyDescent="0.25">
      <c r="C136" s="137"/>
      <c r="D136" s="138" t="s">
        <v>360</v>
      </c>
      <c r="E136" s="119">
        <v>510</v>
      </c>
      <c r="F136" s="127"/>
      <c r="G136" s="128">
        <f>SUMIF($E$4:$E$127,"510",$G$4:$G$127)</f>
        <v>971030977</v>
      </c>
      <c r="H136" s="128">
        <f>SUMIF($E$4:$E$127,"510",$H$4:$H$127)</f>
        <v>0</v>
      </c>
      <c r="I136" s="129">
        <f>SUMIF($E$4:$E$127,"510",$I$4:$I$127)</f>
        <v>0</v>
      </c>
      <c r="J136" s="129">
        <f>SUMIF($E$4:$E$128,"510",$J$4:$J$128)</f>
        <v>29000000</v>
      </c>
      <c r="K136" s="128">
        <f>SUMIF($E$4:$E$127,"510",$K$4:$K$127)</f>
        <v>0</v>
      </c>
      <c r="L136" s="127">
        <f>SUMIF($E$4:$E$127,"510",$L$4:$L$127)</f>
        <v>793368554</v>
      </c>
      <c r="M136" s="127">
        <f>SUMIF($E$4:$E$127,"510",$M$4:$M$127)</f>
        <v>14004396</v>
      </c>
      <c r="N136" s="127">
        <f>SUMIF($E$4:$E$127,"510",$N$4:$N$127)</f>
        <v>0</v>
      </c>
      <c r="O136" s="127">
        <f>SUMIF($E$4:$E$127,"510",$O$4:$O$127)</f>
        <v>0</v>
      </c>
      <c r="P136" s="127">
        <f>SUMIF($E$4:$E$127,"510",$P$4:$P$127)</f>
        <v>0</v>
      </c>
      <c r="Q136" s="127">
        <f>SUMIF($E$4:$E$127,"510",$Q$4:$Q$127)</f>
        <v>0</v>
      </c>
      <c r="R136" s="127">
        <f>SUMIF($E$4:$E$127,"510",$R$4:$R$127)</f>
        <v>0</v>
      </c>
      <c r="S136" s="127">
        <f>SUMIF($E$4:$E$127,"510",$S$4:$S$127)</f>
        <v>0</v>
      </c>
      <c r="T136" s="127">
        <f>SUMIF($E$4:$E$127,"510",$T$4:$T$127)</f>
        <v>40431446</v>
      </c>
      <c r="U136" s="127">
        <f>SUMIF($E$4:$E$127,"510",$U$4:$U$127)</f>
        <v>1796640</v>
      </c>
      <c r="V136" s="127">
        <f>SUMIF($E$4:$E$127,"510",$V$4:$V$127)</f>
        <v>0</v>
      </c>
      <c r="W136" s="127">
        <f>SUMIF($E$4:$E$119,"510",$W$4:$W$119)</f>
        <v>0</v>
      </c>
      <c r="X136" s="127"/>
      <c r="Y136" s="127">
        <f>SUMIF($E$4:$E$127,"510",$Y$4:$Y$127)</f>
        <v>0</v>
      </c>
      <c r="Z136" s="127">
        <f>SUMIF($E$4:$E$127,"510",$Z$4:$Z$127)</f>
        <v>0</v>
      </c>
      <c r="AA136" s="127">
        <f>SUMIF($E$4:$E$127,"510",$AA$4:$AA$127)</f>
        <v>92429941</v>
      </c>
      <c r="AC136" s="130">
        <f t="shared" si="174"/>
        <v>0.80964366804129262</v>
      </c>
      <c r="AD136" s="32">
        <f t="shared" si="175"/>
        <v>786189082</v>
      </c>
      <c r="AE136" s="128">
        <f>SUMIF($E$4:$E$127,"510",$AE$4:$AE$127)</f>
        <v>0</v>
      </c>
      <c r="AF136" s="128">
        <f>SUMIF($E$4:$E$127,"510",$AF$4:$AF$127)</f>
        <v>0</v>
      </c>
      <c r="AG136" s="128">
        <f>SUMIF($E$4:$E$127,"510",$AG$4:$AG$127)</f>
        <v>0</v>
      </c>
      <c r="AH136" s="128">
        <f>SUMIF($E$4:$E$127,"510",$AH$4:$AH$127)</f>
        <v>0</v>
      </c>
      <c r="AI136" s="128">
        <f>SUMIF($E$4:$E$127,"510",$AI$4:$AI$127)</f>
        <v>699069074</v>
      </c>
      <c r="AJ136" s="128">
        <f>SUMIF($E$4:$E$127,"510",$AJ$4:$AJ$127)</f>
        <v>14004396</v>
      </c>
      <c r="AK136" s="128">
        <f>SUMIF($E$4:$E$127,"510",$AK$4:$AK$127)</f>
        <v>0</v>
      </c>
      <c r="AL136" s="128">
        <f>SUMIF($E$4:$E$127,"510",$AL$4:$AL$127)</f>
        <v>0</v>
      </c>
      <c r="AM136" s="128">
        <f>SUMIF($E$4:$E$127,"510",$AM$4:$AM$127)</f>
        <v>0</v>
      </c>
      <c r="AN136" s="128">
        <f>SUMIF($E$4:$E$127,"510",$AN$4:$AN$127)</f>
        <v>0</v>
      </c>
      <c r="AO136" s="128">
        <f>SUMIF($E$4:$E$127,"510",$AO$4:$AO$127)</f>
        <v>0</v>
      </c>
      <c r="AP136" s="128">
        <f>SUMIF($E$4:$E$127,"510",$AP$4:$AP$127)</f>
        <v>0</v>
      </c>
      <c r="AQ136" s="128">
        <f>SUMIF($E$4:$E$127,"510",$AQ$4:$AQ$127)</f>
        <v>22867435</v>
      </c>
      <c r="AR136" s="128">
        <f>SUMIF($E$4:$E$127,"510",$AR$4:$AR$127)</f>
        <v>1796640</v>
      </c>
      <c r="AS136" s="128">
        <f>SUMIF($E$4:$E$127,"510",$AS$4:$AS$127)</f>
        <v>0</v>
      </c>
      <c r="AT136" s="128">
        <f>SUMIF($E$4:$E$127,"510",$AT$4:$AT$127)</f>
        <v>0</v>
      </c>
      <c r="AU136" s="128">
        <f>SUMIF($E$4:$E$127,"510",$AU$4:$AU$127)</f>
        <v>0</v>
      </c>
      <c r="AV136" s="128">
        <f>SUMIF($E$4:$E$127,"510",$AV$4:$AV$127)</f>
        <v>0</v>
      </c>
      <c r="AW136" s="128">
        <f>SUMIF($E$4:$E$127," 510",$AW$4:$AW$127)</f>
        <v>0</v>
      </c>
      <c r="AX136" s="128">
        <f>SUMIF($E$4:$E$127,"510",$AX$4:$AX$127)</f>
        <v>48451537</v>
      </c>
      <c r="AY136" s="113">
        <f t="shared" si="176"/>
        <v>0.19035633195870738</v>
      </c>
      <c r="AZ136" s="32">
        <f t="shared" si="177"/>
        <v>184841895</v>
      </c>
      <c r="BA136" s="131">
        <f>SUMIF($E$4:$E$127,"510",$BA$4:$BA$127)</f>
        <v>0</v>
      </c>
      <c r="BB136" s="131">
        <f>SUMIF($E$4:$E$127,"510",$BB$4:$BB$127)</f>
        <v>0</v>
      </c>
      <c r="BC136" s="131">
        <f>SUMIF($E$4:$E$127,"510",$BC$4:$BC$127)</f>
        <v>29000000</v>
      </c>
      <c r="BD136" s="131">
        <f>SUMIF($E$4:$E$127,"510",$BD$4:$BD$127)</f>
        <v>0</v>
      </c>
      <c r="BE136" s="131">
        <f>SUMIF($E$4:$E$127,"510",$BE$4:$BE$127)</f>
        <v>94299480</v>
      </c>
      <c r="BF136" s="131">
        <f>SUMIF($E$4:$E$127,"510",$BF$4:$BF$127)</f>
        <v>0</v>
      </c>
      <c r="BG136" s="131">
        <f>SUMIF($E$4:$E$127,"510",$BG$4:$BG$127)</f>
        <v>0</v>
      </c>
      <c r="BH136" s="131">
        <f>SUMIF($E$4:$E$127,"510",$BH$4:$BH$127)</f>
        <v>0</v>
      </c>
      <c r="BI136" s="131">
        <f>SUMIF($E$4:$E$127,"510",$BI$4:$BI$127)</f>
        <v>0</v>
      </c>
      <c r="BJ136" s="131">
        <f>SUMIF($E$4:$E$127,"510",$BJ$4:$BJ$127)</f>
        <v>0</v>
      </c>
      <c r="BK136" s="131">
        <f>SUMIF($E$4:$E$127,"510",$BK$4:$BK$127)</f>
        <v>0</v>
      </c>
      <c r="BL136" s="131">
        <f>SUMIF($E$4:$E$127,"510",$BL$4:$BL$127)</f>
        <v>0</v>
      </c>
      <c r="BM136" s="131">
        <f>SUMIF($E$4:$E$127,"510",$BM$4:$BM$127)</f>
        <v>17564011</v>
      </c>
      <c r="BN136" s="131">
        <f>SUMIF($E$4:$E$127,"510",$BN$4:$BN$127)</f>
        <v>0</v>
      </c>
      <c r="BO136" s="131">
        <f>SUMIF($E$4:$E$127,"510",$BO$4:$BO$127)</f>
        <v>0</v>
      </c>
      <c r="BP136" s="131">
        <f>SUMIF($E$4:$E$127,"520",$BP$4:$BP$127)</f>
        <v>0</v>
      </c>
      <c r="BQ136" s="131"/>
      <c r="BR136" s="131">
        <f>SUMIF($E$4:$E$127,"510",$BR$4:$BR$127)</f>
        <v>0</v>
      </c>
      <c r="BS136" s="131">
        <f>SUMIF($E$4:$E$127,"510",$BS$4:$BS$127)</f>
        <v>0</v>
      </c>
      <c r="BT136" s="132">
        <f>SUMIF($E$4:$E$127,"510",$BT$4:$BT$127)</f>
        <v>43978404</v>
      </c>
      <c r="BU136" s="133">
        <f t="shared" si="178"/>
        <v>0.67081494867696689</v>
      </c>
      <c r="BV136" s="32">
        <f t="shared" si="179"/>
        <v>651382095</v>
      </c>
      <c r="BW136" s="128">
        <f>SUMIF($E$4:$E$127,"510",$BW$4:$BW$127)</f>
        <v>0</v>
      </c>
      <c r="BX136" s="128">
        <f>SUMIF($E$4:$E$127,"510",$BX$4:$BX$127)</f>
        <v>0</v>
      </c>
      <c r="BY136" s="128">
        <f>SUMIF($E$4:$E$127,"510",$BY$4:$BY$127)</f>
        <v>0</v>
      </c>
      <c r="BZ136" s="128">
        <f>SUMIF($E$4:$E$127,"510",$BZ$4:$BZ$127)</f>
        <v>0</v>
      </c>
      <c r="CA136" s="128">
        <f>SUMIF($E$4:$E$127,"510",$CA$4:$CA$127)</f>
        <v>565824023</v>
      </c>
      <c r="CB136" s="128">
        <f>SUMIF($E$4:$E$127,"510",$CB$4:$CB$127)</f>
        <v>14004396</v>
      </c>
      <c r="CC136" s="128">
        <f>SUMIF($E$4:$E$127,"510",$CC$4:$CC$127)</f>
        <v>0</v>
      </c>
      <c r="CD136" s="128">
        <f>SUMIF($E$4:$E$127,"510",$CD$4:$CD$127)</f>
        <v>0</v>
      </c>
      <c r="CE136" s="128">
        <f>SUMIF($E$4:$E$127,"510",$CE$4:$CE$127)</f>
        <v>0</v>
      </c>
      <c r="CF136" s="128">
        <f>SUMIF($E$4:$E$127,"510",$CF$4:$CF$127)</f>
        <v>0</v>
      </c>
      <c r="CG136" s="128">
        <f>SUMIF($E$4:$E$127,"510",$CG$4:$CG$127)</f>
        <v>0</v>
      </c>
      <c r="CH136" s="128">
        <f>SUMIF($E$4:$E$127,"510",$CH$4:$CH$127)</f>
        <v>0</v>
      </c>
      <c r="CI136" s="128">
        <f>SUMIF($E$4:$E$127,"510",$CI$4:$CI$127)</f>
        <v>22856903</v>
      </c>
      <c r="CJ136" s="128">
        <f>SUMIF($E$4:$E$127,"510",$CJ$4:$CJ$127)</f>
        <v>1796640</v>
      </c>
      <c r="CK136" s="128">
        <f>SUMIF($E$4:$E$127,"510",$CK$4:$CK$127)</f>
        <v>0</v>
      </c>
      <c r="CL136" s="128">
        <f>SUMIF($E$4:$E$127,"510",$CL$4:$CL$127)</f>
        <v>0</v>
      </c>
      <c r="CM136" s="128">
        <f>SUMIF($E$4:$E$127,"111",$CM$4:$CM$127)</f>
        <v>0</v>
      </c>
      <c r="CN136" s="128">
        <f>SUMIF($E$4:$E$127,"510",$CN$4:$CN$127)</f>
        <v>0</v>
      </c>
      <c r="CO136" s="128">
        <f>SUMIF($E$4:$E$127,"510",$CO$4:$CO$127)</f>
        <v>0</v>
      </c>
      <c r="CP136" s="134">
        <f>SUMIF($E$4:$E$127,"510",$CP$4:$CP$127)</f>
        <v>46900133</v>
      </c>
      <c r="CQ136" s="29">
        <f t="shared" si="180"/>
        <v>0.32918505132303311</v>
      </c>
      <c r="CR136" s="32">
        <f t="shared" si="181"/>
        <v>319648882</v>
      </c>
      <c r="CS136" s="131">
        <f>SUMIF($E$4:$E$127,"510",$CS$4:$CS$127)</f>
        <v>0</v>
      </c>
      <c r="CT136" s="131">
        <f>SUMIF($E$4:$E$127,"510",$CT$4:$CT$127)</f>
        <v>0</v>
      </c>
      <c r="CU136" s="131">
        <f>SUMIF($E$4:$E$127,"510",$CU$4:$CU$127)</f>
        <v>29000000</v>
      </c>
      <c r="CV136" s="131">
        <f>SUMIF($E$4:$E$127,"510",$CV$4:$CV$127)</f>
        <v>0</v>
      </c>
      <c r="CW136" s="131">
        <f>SUMIF($E$4:$E$127,"510",$CW$4:$CW$127)</f>
        <v>227544531</v>
      </c>
      <c r="CX136" s="131">
        <f>SUMIF($E$4:$E$127,"510",$CX$4:$CX$127)</f>
        <v>0</v>
      </c>
      <c r="CY136" s="131">
        <f>SUMIF($E$4:$E$127,"510",$CY$4:$CY$127)</f>
        <v>0</v>
      </c>
      <c r="CZ136" s="135">
        <f>SUMIF($E$4:$E$127,"510",$CZ$4:$CZ$127)</f>
        <v>0</v>
      </c>
      <c r="DA136" s="135">
        <f>SUMIF($E$4:$E$127,"510",$DA$4:$DA$127)</f>
        <v>0</v>
      </c>
      <c r="DB136" s="135">
        <f>SUMIF($E$4:$E$127,"510",$DB$4:$DB$127)</f>
        <v>0</v>
      </c>
      <c r="DC136" s="135">
        <f>SUMIF($E$4:$E$127,"510",$DC$4:$DC$127)</f>
        <v>0</v>
      </c>
      <c r="DD136" s="135">
        <f>SUMIF($E$4:$E$127,"510",$DD$4:$DD$127)</f>
        <v>0</v>
      </c>
      <c r="DE136" s="135">
        <f>SUMIF($E$4:$E$127,"510",$DE$4:$DE$127)</f>
        <v>17574543</v>
      </c>
      <c r="DF136" s="135">
        <f>SUMIF($E$4:$E$127,"510",$DF$4:$DF$127)</f>
        <v>0</v>
      </c>
      <c r="DG136" s="135">
        <f>SUMIF($E$4:$E$127,"510",$DG$4:$DG$127)</f>
        <v>0</v>
      </c>
      <c r="DH136" s="135">
        <f>SUMIF($E$4:$E$127,"510",$DH$4:$DH$127)</f>
        <v>0</v>
      </c>
      <c r="DI136" s="135">
        <f>SUMIF($E$4:$E$127,"510",$DI$4:$DI$127)</f>
        <v>0</v>
      </c>
      <c r="DJ136" s="135">
        <f>SUMIF($E$4:$E$127,"510",$DJ$4:$DJ$127)</f>
        <v>0</v>
      </c>
      <c r="DK136" s="135">
        <f>SUMIF($E$4:$E$127,"510",$DK$4:$DK$127)</f>
        <v>0</v>
      </c>
      <c r="DL136" s="135">
        <f>SUMIF($E$4:$E$127,"510",$DL$4:$DL$127)</f>
        <v>45529808</v>
      </c>
      <c r="DN136" s="33">
        <f t="shared" si="182"/>
        <v>971030977</v>
      </c>
      <c r="DO136" s="33">
        <f t="shared" si="183"/>
        <v>971030977</v>
      </c>
      <c r="DP136" s="33">
        <f t="shared" si="184"/>
        <v>971030977</v>
      </c>
    </row>
    <row r="137" spans="3:120" x14ac:dyDescent="0.25">
      <c r="C137" s="137"/>
      <c r="D137" s="126" t="s">
        <v>361</v>
      </c>
      <c r="E137" s="119">
        <v>520</v>
      </c>
      <c r="F137" s="127"/>
      <c r="G137" s="128">
        <f>SUMIF($E$4:$E$127,"520",$G$4:$G$127)</f>
        <v>1600540286</v>
      </c>
      <c r="H137" s="128">
        <f>SUMIF($E$4:$E$127,"520",$H$4:$H$127)</f>
        <v>0</v>
      </c>
      <c r="I137" s="129">
        <f>SUMIF($E$4:$E$127,"520",$I$4:$I$127)</f>
        <v>0</v>
      </c>
      <c r="J137" s="129">
        <f>SUMIF($E$4:$E$127,"520",$J$4:$J$127)</f>
        <v>0</v>
      </c>
      <c r="K137" s="128">
        <f>SUMIF($E$4:$E$127,"520",$K$4:$K$127)</f>
        <v>0</v>
      </c>
      <c r="L137" s="127">
        <f>SUMIF($E$4:$E$127,"520",$L$4:$L$127)</f>
        <v>520000000</v>
      </c>
      <c r="M137" s="127">
        <f>SUMIF($E$4:$E$127,"520",$M$4:$M$127)</f>
        <v>50000000</v>
      </c>
      <c r="N137" s="127">
        <f>SUMIF($E$4:$E$127,"520",$N$4:$N$127)</f>
        <v>0</v>
      </c>
      <c r="O137" s="127">
        <f>SUMIF($E$4:$E$127,"520",$O$4:$O$127)</f>
        <v>0</v>
      </c>
      <c r="P137" s="127">
        <f>SUMIF($E$4:$E$127,"520",$P$4:$P$127)</f>
        <v>0</v>
      </c>
      <c r="Q137" s="127">
        <f>SUMIF($E$4:$E$127,"520",$Q$4:$Q$127)</f>
        <v>0</v>
      </c>
      <c r="R137" s="127">
        <f>SUMIF($E$4:$E$127,"520",$R$4:$R$127)</f>
        <v>0</v>
      </c>
      <c r="S137" s="127">
        <f>SUMIF($E$4:$E$127,"520",$S$4:$S$127)</f>
        <v>200000000</v>
      </c>
      <c r="T137" s="127">
        <f>SUMIF($E$4:$E$127,"520",$T$4:$T$127)</f>
        <v>333901442</v>
      </c>
      <c r="U137" s="127">
        <f>SUMIF($E$4:$E$127,"520",$U$4:$U$127)</f>
        <v>0</v>
      </c>
      <c r="V137" s="127">
        <f>SUMIF($E$4:$E$127,"520",$V$4:$V$127)</f>
        <v>0</v>
      </c>
      <c r="W137" s="127">
        <f>SUMIF($E$4:$E$119,"520",$W$4:$W$119)</f>
        <v>0</v>
      </c>
      <c r="X137" s="127"/>
      <c r="Y137" s="127">
        <f>SUMIF($E$4:$E$127,"520",$Y$4:$Y$127)</f>
        <v>0</v>
      </c>
      <c r="Z137" s="127">
        <f>SUMIF($E$4:$E$127,"520",$Z$4:$Z$127)</f>
        <v>0</v>
      </c>
      <c r="AA137" s="127">
        <f>SUMIF($E$4:$E$127,"520",$AA$4:$AA$127)</f>
        <v>496638844</v>
      </c>
      <c r="AC137" s="130">
        <f t="shared" si="174"/>
        <v>0.73839405626807197</v>
      </c>
      <c r="AD137" s="32">
        <f t="shared" si="175"/>
        <v>1181829434</v>
      </c>
      <c r="AE137" s="128">
        <f>SUMIF($E$4:$E$127,"520",$AE$4:$AE$127)</f>
        <v>0</v>
      </c>
      <c r="AF137" s="128">
        <f>SUMIF($E$4:$E$127,"520",$AF$4:$AF$127)</f>
        <v>0</v>
      </c>
      <c r="AG137" s="128">
        <f>SUMIF($E$4:$E$127,"520",$AG$4:$AG$127)</f>
        <v>0</v>
      </c>
      <c r="AH137" s="128">
        <f>SUMIF($E$4:$E$127,"520",$AH$4:$AH$127)</f>
        <v>0</v>
      </c>
      <c r="AI137" s="128">
        <f>SUMIF($E$4:$E$127,"520",$AI$4:$AI$127)</f>
        <v>282138473</v>
      </c>
      <c r="AJ137" s="128">
        <f>SUMIF($E$4:$E$127,"520",$AJ$4:$AJ$127)</f>
        <v>24212635</v>
      </c>
      <c r="AK137" s="128">
        <f>SUMIF($E$4:$E$127,"520",$AK$4:$AK$127)</f>
        <v>0</v>
      </c>
      <c r="AL137" s="128">
        <f>SUMIF($E$4:$E$127,"520",$AL$4:$AL$127)</f>
        <v>0</v>
      </c>
      <c r="AM137" s="128">
        <f>SUMIF($E$4:$E$127,"520",$AM$4:$AM$127)</f>
        <v>0</v>
      </c>
      <c r="AN137" s="128">
        <f>SUMIF($E$4:$E$127,"520",$AN$4:$AN$127)</f>
        <v>0</v>
      </c>
      <c r="AO137" s="128">
        <f>SUMIF($E$4:$E$127,"520",$AO$4:$AO$127)</f>
        <v>0</v>
      </c>
      <c r="AP137" s="128">
        <f>SUMIF($E$4:$E$127,"520",$AP$4:$AP$127)</f>
        <v>196388655</v>
      </c>
      <c r="AQ137" s="128">
        <f>SUMIF($E$4:$E$127,"520",$AQ$4:$AQ$127)</f>
        <v>286026149</v>
      </c>
      <c r="AR137" s="128">
        <f>SUMIF($E$4:$E$127,"520",$AR$4:$AR$127)</f>
        <v>0</v>
      </c>
      <c r="AS137" s="128">
        <f>SUMIF($E$4:$E$127,"520",$AS$4:$AS$127)</f>
        <v>0</v>
      </c>
      <c r="AT137" s="128">
        <f>SUMIF($E$4:$E$127,"520",$AT$4:$AT$127)</f>
        <v>0</v>
      </c>
      <c r="AU137" s="128">
        <f>SUMIF($E$4:$E$127,"520",$AU$4:$AU$127)</f>
        <v>0</v>
      </c>
      <c r="AV137" s="128">
        <f>SUMIF($E$4:$E$127,"520",$AV$4:$AV$127)</f>
        <v>0</v>
      </c>
      <c r="AW137" s="128">
        <f>SUMIF($E$4:$E$127,"520",$AW$4:$AW$127)</f>
        <v>0</v>
      </c>
      <c r="AX137" s="128">
        <f>SUMIF($E$4:$E$127,"520",$AX$4:$AX$127)</f>
        <v>393063522</v>
      </c>
      <c r="AY137" s="113">
        <f t="shared" si="176"/>
        <v>0.26160594373192803</v>
      </c>
      <c r="AZ137" s="32">
        <f t="shared" si="177"/>
        <v>418710852</v>
      </c>
      <c r="BA137" s="131">
        <f>SUMIF($E$4:$E$127,"520",$BA$4:$BA$127)</f>
        <v>0</v>
      </c>
      <c r="BB137" s="131">
        <f>SUMIF($E$4:$E$127,"520",$BB$4:$BB$127)</f>
        <v>0</v>
      </c>
      <c r="BC137" s="131">
        <f>SUMIF($E$4:$E$127,"520",$BC$4:$BC$127)</f>
        <v>0</v>
      </c>
      <c r="BD137" s="131">
        <f>SUMIF($E$4:$E$127,"520",$BD$4:$BD$127)</f>
        <v>0</v>
      </c>
      <c r="BE137" s="131">
        <f>SUMIF($E$4:$E$127,"520",$BE$4:$BE$127)</f>
        <v>237861527</v>
      </c>
      <c r="BF137" s="131">
        <f>SUMIF($E$4:$E$127,"520",$BF$4:$BF$127)</f>
        <v>25787365</v>
      </c>
      <c r="BG137" s="131">
        <f>SUMIF($E$4:$E$127,"520",$BG$4:$BG$127)</f>
        <v>0</v>
      </c>
      <c r="BH137" s="131">
        <f>SUMIF($E$4:$E$127,"520",$BH$4:$BH$127)</f>
        <v>0</v>
      </c>
      <c r="BI137" s="131">
        <f>SUMIF($E$4:$E$127,"520",$BI$4:$BI$127)</f>
        <v>0</v>
      </c>
      <c r="BJ137" s="131">
        <f>SUMIF($E$4:$E$127,"520",$BJ$4:$BJ$127)</f>
        <v>0</v>
      </c>
      <c r="BK137" s="131">
        <f>SUMIF($E$4:$E$127,"520",$BK$4:$BK$127)</f>
        <v>0</v>
      </c>
      <c r="BL137" s="131">
        <f>SUMIF($E$4:$E$127,"520",$BL$4:$BL$127)</f>
        <v>3611345</v>
      </c>
      <c r="BM137" s="131">
        <f>SUMIF($E$4:$E$127,"520",$BM$4:$BM$127)</f>
        <v>47875293</v>
      </c>
      <c r="BN137" s="131">
        <f>SUMIF($E$4:$E$127,"520",$BN$4:$BN$127)</f>
        <v>0</v>
      </c>
      <c r="BO137" s="131">
        <f>SUMIF($E$4:$E$127,"520",$BO$4:$BO$127)</f>
        <v>0</v>
      </c>
      <c r="BP137" s="131">
        <f>SUMIF($E$4:$E$127,"111",$BP$4:$BP$127)</f>
        <v>0</v>
      </c>
      <c r="BQ137" s="131"/>
      <c r="BR137" s="131">
        <f>SUMIF($E$4:$E$127,"520",$BR$4:$BR$127)</f>
        <v>0</v>
      </c>
      <c r="BS137" s="131">
        <f>SUMIF($E$4:$E$127,"520",$BS$4:$BS$127)</f>
        <v>0</v>
      </c>
      <c r="BT137" s="132">
        <f>SUMIF($E$4:$E$127,"520",$BT$4:$BT$127)</f>
        <v>103575322</v>
      </c>
      <c r="BU137" s="133">
        <f t="shared" si="178"/>
        <v>0.5763361916402272</v>
      </c>
      <c r="BV137" s="32">
        <f t="shared" si="179"/>
        <v>922449293</v>
      </c>
      <c r="BW137" s="128">
        <f>SUMIF($E$4:$E$127,"520",$BW$4:$BW$127)</f>
        <v>0</v>
      </c>
      <c r="BX137" s="128">
        <f>SUMIF($E$4:$E$127,"520",$BX$4:$BX$127)</f>
        <v>0</v>
      </c>
      <c r="BY137" s="128">
        <f>SUMIF($E$4:$E$127,"520",$BY$4:$BY$127)</f>
        <v>0</v>
      </c>
      <c r="BZ137" s="128">
        <f>SUMIF($E$4:$E$127,"520",$BZ$4:$BZ$127)</f>
        <v>0</v>
      </c>
      <c r="CA137" s="128">
        <f>SUMIF($E$4:$E$127,"520",$CA$4:$CA$127)</f>
        <v>222563715</v>
      </c>
      <c r="CB137" s="128">
        <f>SUMIF($E$4:$E$127,"520",$CB$4:$CB$127)</f>
        <v>24212635</v>
      </c>
      <c r="CC137" s="128">
        <f>SUMIF($E$4:$E$127,"520",$CC$4:$CC$127)</f>
        <v>0</v>
      </c>
      <c r="CD137" s="128">
        <f>SUMIF($E$4:$E$127,"520",$CD$4:$CD$127)</f>
        <v>0</v>
      </c>
      <c r="CE137" s="128">
        <f>SUMIF($E$4:$E$127,"520",$CE$4:$CE$127)</f>
        <v>0</v>
      </c>
      <c r="CF137" s="128">
        <f>SUMIF($E$4:$E$127,"520",$CF$4:$CF$127)</f>
        <v>0</v>
      </c>
      <c r="CG137" s="128">
        <f>SUMIF($E$4:$E$127,"520",$CG$4:$CG$127)</f>
        <v>0</v>
      </c>
      <c r="CH137" s="128">
        <f>SUMIF($E$4:$E$127,"520",$CH$4:$CH$127)</f>
        <v>162882922</v>
      </c>
      <c r="CI137" s="128">
        <f>SUMIF($E$4:$E$127,"520",$CI$4:$CI$127)</f>
        <v>232521071</v>
      </c>
      <c r="CJ137" s="128">
        <f>SUMIF($E$4:$E$127,"520",$CJ$4:$CJ$127)</f>
        <v>0</v>
      </c>
      <c r="CK137" s="128">
        <f>SUMIF($E$4:$E$127,"520",$CK$4:$CK$127)</f>
        <v>0</v>
      </c>
      <c r="CL137" s="128">
        <f>SUMIF($E$4:$E$127,"520",$CL$4:$CL$127)</f>
        <v>0</v>
      </c>
      <c r="CM137" s="128">
        <f>SUMIF($E$4:$E$127,"111",$CM$4:$CM$127)</f>
        <v>0</v>
      </c>
      <c r="CN137" s="128">
        <f>SUMIF($E$4:$E$127,"520",$CN$4:$CN$127)</f>
        <v>0</v>
      </c>
      <c r="CO137" s="128">
        <f>SUMIF($E$4:$E$127,"520",$CO$4:$CO$127)</f>
        <v>0</v>
      </c>
      <c r="CP137" s="134">
        <f>SUMIF($E$4:$E$127,"520",$CP$4:$CP$127)</f>
        <v>280268950</v>
      </c>
      <c r="CQ137" s="29">
        <f t="shared" si="180"/>
        <v>0.4236638083597728</v>
      </c>
      <c r="CR137" s="32">
        <f t="shared" si="181"/>
        <v>678090993</v>
      </c>
      <c r="CS137" s="131">
        <f>SUMIF($E$4:$E$127,"520",$CS$4:$CS$127)</f>
        <v>0</v>
      </c>
      <c r="CT137" s="131">
        <f>SUMIF($E$4:$E$127,"520",$CT$4:$CT$127)</f>
        <v>0</v>
      </c>
      <c r="CU137" s="131">
        <f>SUMIF($E$4:$E$127,"520",$CU$4:$CU$127)</f>
        <v>0</v>
      </c>
      <c r="CV137" s="131">
        <f>SUMIF($E$4:$E$127,"520",$CV$4:$CV$127)</f>
        <v>0</v>
      </c>
      <c r="CW137" s="131">
        <f>SUMIF($E$4:$E$127,"520",$CW$4:$CW$127)</f>
        <v>297436285</v>
      </c>
      <c r="CX137" s="131">
        <f>SUMIF($E$4:$E$127,"520",$CX$4:$CX$127)</f>
        <v>25787365</v>
      </c>
      <c r="CY137" s="131">
        <f>SUMIF($E$4:$E$127,"520",$CY$4:$CY$127)</f>
        <v>0</v>
      </c>
      <c r="CZ137" s="135">
        <f>SUMIF($E$4:$E$127,"520",$CZ$4:$CZ$127)</f>
        <v>0</v>
      </c>
      <c r="DA137" s="135">
        <f>SUMIF($E$4:$E$127,"520",$DA$4:$DA$127)</f>
        <v>0</v>
      </c>
      <c r="DB137" s="135">
        <f>SUMIF($E$4:$E$127,"520",$DB$4:$DB$127)</f>
        <v>0</v>
      </c>
      <c r="DC137" s="135">
        <f>SUMIF($E$4:$E$127,"520",$DC$4:$DC$127)</f>
        <v>0</v>
      </c>
      <c r="DD137" s="135">
        <f>SUMIF($E$4:$E$127,"520",$DD$4:$DD$127)</f>
        <v>37117078</v>
      </c>
      <c r="DE137" s="135">
        <f>SUMIF($E$4:$E$127,"520",$DE$4:$DE$127)</f>
        <v>101380371</v>
      </c>
      <c r="DF137" s="135">
        <f>SUMIF($E$4:$E$127,"520",$DF$4:$DF$127)</f>
        <v>0</v>
      </c>
      <c r="DG137" s="135">
        <f>SUMIF($E$4:$E$127,"520",$DG$4:$DG$127)</f>
        <v>0</v>
      </c>
      <c r="DH137" s="135">
        <f>SUMIF($E$4:$E$127,"520",$DH$4:$DH$127)</f>
        <v>0</v>
      </c>
      <c r="DI137" s="135">
        <f>SUMIF($E$4:$E$127,"520",$DI$4:$DI$127)</f>
        <v>0</v>
      </c>
      <c r="DJ137" s="135">
        <f>SUMIF($E$4:$E$127,"520",$DJ$4:$DJ$127)</f>
        <v>0</v>
      </c>
      <c r="DK137" s="135">
        <f>SUMIF($E$4:$E$127,"520",$DK$4:$DK$127)</f>
        <v>0</v>
      </c>
      <c r="DL137" s="135">
        <f>SUMIF($E$4:$E$127,"520",$DL$4:$DL$127)</f>
        <v>216369894</v>
      </c>
      <c r="DN137" s="33">
        <f t="shared" si="182"/>
        <v>1600540286</v>
      </c>
      <c r="DO137" s="33">
        <f t="shared" si="183"/>
        <v>1600540286</v>
      </c>
      <c r="DP137" s="33">
        <f t="shared" si="184"/>
        <v>1600540286</v>
      </c>
    </row>
    <row r="138" spans="3:120" x14ac:dyDescent="0.25">
      <c r="C138" s="137"/>
      <c r="D138" s="126" t="s">
        <v>362</v>
      </c>
      <c r="E138" s="119" t="s">
        <v>334</v>
      </c>
      <c r="F138" s="127"/>
      <c r="G138" s="128">
        <f>SUMIF($E$4:$E$127,"520-2",$G$4:$G$127)</f>
        <v>3185000000</v>
      </c>
      <c r="H138" s="128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7">
        <f>SUMIF($E$4:$E$127,"520-2",$U$4:$U$127)</f>
        <v>485000000</v>
      </c>
      <c r="V138" s="129"/>
      <c r="W138" s="129"/>
      <c r="X138" s="129"/>
      <c r="Y138" s="127">
        <f>SUMIF($E$4:$E$127,"520-2",$Y$4:$Y$127)</f>
        <v>2700000000</v>
      </c>
      <c r="Z138" s="129"/>
      <c r="AA138" s="127">
        <f>SUMIF($E$4:$E$127,"520-2",$AA$4:$AA$127)</f>
        <v>0</v>
      </c>
      <c r="AC138" s="130">
        <f t="shared" si="174"/>
        <v>1</v>
      </c>
      <c r="AD138" s="32">
        <f t="shared" si="175"/>
        <v>3185000000</v>
      </c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>
        <f>SUMIF($E$4:$E$127,"520-2",$AR$4:$AR$127)</f>
        <v>485000000</v>
      </c>
      <c r="AS138" s="128"/>
      <c r="AT138" s="128"/>
      <c r="AU138" s="128">
        <f>SUMIF($E$4:$E$127,"520-2",$AU$4:$AU$127)</f>
        <v>0</v>
      </c>
      <c r="AV138" s="128">
        <f>SUMIF($E$4:$E$127,"520-2",$AV$4:$AV$127)</f>
        <v>2700000000</v>
      </c>
      <c r="AW138" s="128"/>
      <c r="AX138" s="128"/>
      <c r="AY138" s="113">
        <f t="shared" si="176"/>
        <v>0</v>
      </c>
      <c r="AZ138" s="32">
        <f t="shared" si="177"/>
        <v>0</v>
      </c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>
        <f>SUMIF($E$4:$E$127,"520-2",$BN$4:$BN$127)</f>
        <v>0</v>
      </c>
      <c r="BO138" s="131"/>
      <c r="BP138" s="131"/>
      <c r="BQ138" s="131"/>
      <c r="BR138" s="131">
        <f>SUMIF($E$4:$E$127,"520-2",$BR$4:$BR$127)</f>
        <v>0</v>
      </c>
      <c r="BS138" s="131"/>
      <c r="BT138" s="132"/>
      <c r="BU138" s="133">
        <f t="shared" si="178"/>
        <v>0.25496371679748825</v>
      </c>
      <c r="BV138" s="32">
        <f>SUM(BW138:CP138)</f>
        <v>812059438</v>
      </c>
      <c r="BW138" s="134"/>
      <c r="BX138" s="134"/>
      <c r="BY138" s="134"/>
      <c r="BZ138" s="134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>
        <f>SUMIF($E$4:$E$127,"520-2",$CJ$4:$CJ$127)</f>
        <v>359172189</v>
      </c>
      <c r="CK138" s="128"/>
      <c r="CL138" s="128"/>
      <c r="CM138" s="128">
        <f>SUMIF($E$4:$E$127,"111",$CM$4:$CM$127)</f>
        <v>0</v>
      </c>
      <c r="CN138" s="128">
        <f>SUMIF($E$4:$E$127,"520-2",$CN$4:$CN$127)</f>
        <v>452887249</v>
      </c>
      <c r="CO138" s="128"/>
      <c r="CP138" s="134"/>
      <c r="CQ138" s="29">
        <f t="shared" si="180"/>
        <v>0.7450362832025117</v>
      </c>
      <c r="CR138" s="32">
        <f t="shared" si="181"/>
        <v>2372940562</v>
      </c>
      <c r="CS138" s="132"/>
      <c r="CT138" s="132"/>
      <c r="CU138" s="132"/>
      <c r="CV138" s="132"/>
      <c r="CW138" s="131"/>
      <c r="CX138" s="131"/>
      <c r="CY138" s="131"/>
      <c r="CZ138" s="135"/>
      <c r="DA138" s="135"/>
      <c r="DB138" s="135"/>
      <c r="DC138" s="135"/>
      <c r="DD138" s="135"/>
      <c r="DE138" s="135"/>
      <c r="DF138" s="135">
        <f>SUMIF($E$4:$E$127,"520-2",$DF$4:$DF$127)</f>
        <v>125827811</v>
      </c>
      <c r="DG138" s="135"/>
      <c r="DH138" s="135"/>
      <c r="DI138" s="135">
        <f>SUMIF($E$4:$E$127,"520-2",$DI$4:$DI$127)</f>
        <v>0</v>
      </c>
      <c r="DJ138" s="135">
        <f>SUMIF($E$4:$E$127,"520-2",$DJ$4:$DJ$127)</f>
        <v>2247112751</v>
      </c>
      <c r="DK138" s="135"/>
      <c r="DL138" s="135"/>
      <c r="DN138" s="33">
        <f t="shared" si="182"/>
        <v>3185000000</v>
      </c>
      <c r="DO138" s="33">
        <f t="shared" si="183"/>
        <v>3185000000</v>
      </c>
      <c r="DP138" s="33">
        <f t="shared" si="184"/>
        <v>3185000000</v>
      </c>
    </row>
    <row r="139" spans="3:120" x14ac:dyDescent="0.25">
      <c r="C139" s="137"/>
      <c r="D139" s="126" t="s">
        <v>363</v>
      </c>
      <c r="E139" s="1"/>
      <c r="F139" s="139"/>
      <c r="G139" s="140">
        <f t="shared" ref="G139:AA139" si="185">SUM(G132:G138)</f>
        <v>19479225964</v>
      </c>
      <c r="H139" s="140">
        <f t="shared" si="185"/>
        <v>0</v>
      </c>
      <c r="I139" s="140">
        <f t="shared" si="185"/>
        <v>0</v>
      </c>
      <c r="J139" s="140">
        <f t="shared" si="185"/>
        <v>8458835637</v>
      </c>
      <c r="K139" s="140">
        <f t="shared" si="185"/>
        <v>171003327</v>
      </c>
      <c r="L139" s="140">
        <f t="shared" si="185"/>
        <v>1899736650</v>
      </c>
      <c r="M139" s="140">
        <f t="shared" si="185"/>
        <v>138372986</v>
      </c>
      <c r="N139" s="140">
        <f t="shared" si="185"/>
        <v>54387</v>
      </c>
      <c r="O139" s="140">
        <f t="shared" si="185"/>
        <v>30665828</v>
      </c>
      <c r="P139" s="140">
        <f t="shared" si="185"/>
        <v>1940856</v>
      </c>
      <c r="Q139" s="140">
        <f t="shared" si="185"/>
        <v>3438802</v>
      </c>
      <c r="R139" s="140">
        <f t="shared" si="185"/>
        <v>345941457</v>
      </c>
      <c r="S139" s="140">
        <f t="shared" si="185"/>
        <v>1544000000</v>
      </c>
      <c r="T139" s="140">
        <f t="shared" si="185"/>
        <v>1142029623</v>
      </c>
      <c r="U139" s="140">
        <f t="shared" si="185"/>
        <v>486796640</v>
      </c>
      <c r="V139" s="140">
        <f t="shared" si="185"/>
        <v>1054833768</v>
      </c>
      <c r="W139" s="140">
        <f t="shared" si="185"/>
        <v>0</v>
      </c>
      <c r="X139" s="140">
        <f t="shared" si="185"/>
        <v>11169156</v>
      </c>
      <c r="Y139" s="140">
        <f t="shared" si="185"/>
        <v>2700000000</v>
      </c>
      <c r="Z139" s="140">
        <f t="shared" si="185"/>
        <v>204741836</v>
      </c>
      <c r="AA139" s="140">
        <f t="shared" si="185"/>
        <v>1285665011</v>
      </c>
      <c r="AB139" s="141">
        <f>SUM(AB132:AB137)</f>
        <v>0</v>
      </c>
      <c r="AC139" s="130">
        <f t="shared" si="174"/>
        <v>0.65833612073190695</v>
      </c>
      <c r="AD139" s="140">
        <f t="shared" ref="AD139:AX139" si="186">SUM(AD132:AD138)</f>
        <v>12823878056</v>
      </c>
      <c r="AE139" s="140">
        <f t="shared" si="186"/>
        <v>0</v>
      </c>
      <c r="AF139" s="140">
        <f t="shared" si="186"/>
        <v>0</v>
      </c>
      <c r="AG139" s="140">
        <f t="shared" si="186"/>
        <v>4374004955</v>
      </c>
      <c r="AH139" s="140">
        <f t="shared" si="186"/>
        <v>52220600</v>
      </c>
      <c r="AI139" s="140">
        <f t="shared" si="186"/>
        <v>1404490793</v>
      </c>
      <c r="AJ139" s="140">
        <f t="shared" si="186"/>
        <v>38217031</v>
      </c>
      <c r="AK139" s="140">
        <f t="shared" si="186"/>
        <v>0</v>
      </c>
      <c r="AL139" s="140">
        <f t="shared" si="186"/>
        <v>0</v>
      </c>
      <c r="AM139" s="140">
        <f t="shared" si="186"/>
        <v>0</v>
      </c>
      <c r="AN139" s="140">
        <f t="shared" si="186"/>
        <v>0</v>
      </c>
      <c r="AO139" s="140">
        <f t="shared" si="186"/>
        <v>164856575</v>
      </c>
      <c r="AP139" s="140">
        <f t="shared" si="186"/>
        <v>1496388655</v>
      </c>
      <c r="AQ139" s="140">
        <f t="shared" si="186"/>
        <v>775628761</v>
      </c>
      <c r="AR139" s="140">
        <f t="shared" si="186"/>
        <v>486796640</v>
      </c>
      <c r="AS139" s="140">
        <f t="shared" si="186"/>
        <v>747530233</v>
      </c>
      <c r="AT139" s="140">
        <f t="shared" si="186"/>
        <v>0</v>
      </c>
      <c r="AU139" s="140">
        <f t="shared" si="186"/>
        <v>0</v>
      </c>
      <c r="AV139" s="140">
        <f t="shared" si="186"/>
        <v>2700000000</v>
      </c>
      <c r="AW139" s="140">
        <f t="shared" si="186"/>
        <v>23350298</v>
      </c>
      <c r="AX139" s="140">
        <f t="shared" si="186"/>
        <v>560393515</v>
      </c>
      <c r="AY139" s="113">
        <f t="shared" si="176"/>
        <v>0.34166387926809305</v>
      </c>
      <c r="AZ139" s="142">
        <f t="shared" ref="AZ139:BT139" si="187">SUM(AZ132:AZ138)</f>
        <v>6655347908</v>
      </c>
      <c r="BA139" s="142">
        <f t="shared" si="187"/>
        <v>0</v>
      </c>
      <c r="BB139" s="142">
        <f t="shared" si="187"/>
        <v>0</v>
      </c>
      <c r="BC139" s="142">
        <f t="shared" si="187"/>
        <v>4084830682</v>
      </c>
      <c r="BD139" s="142">
        <f t="shared" si="187"/>
        <v>118782727</v>
      </c>
      <c r="BE139" s="142">
        <f t="shared" si="187"/>
        <v>495245857</v>
      </c>
      <c r="BF139" s="142">
        <f t="shared" si="187"/>
        <v>100155955</v>
      </c>
      <c r="BG139" s="142">
        <f t="shared" si="187"/>
        <v>54387</v>
      </c>
      <c r="BH139" s="142">
        <f t="shared" si="187"/>
        <v>30665828</v>
      </c>
      <c r="BI139" s="142">
        <f t="shared" si="187"/>
        <v>1940856</v>
      </c>
      <c r="BJ139" s="142">
        <f t="shared" si="187"/>
        <v>3438802</v>
      </c>
      <c r="BK139" s="142">
        <f t="shared" si="187"/>
        <v>181084882</v>
      </c>
      <c r="BL139" s="142">
        <f t="shared" si="187"/>
        <v>47611345</v>
      </c>
      <c r="BM139" s="142">
        <f t="shared" si="187"/>
        <v>366400862</v>
      </c>
      <c r="BN139" s="142">
        <f t="shared" si="187"/>
        <v>0</v>
      </c>
      <c r="BO139" s="142">
        <f t="shared" si="187"/>
        <v>307303535</v>
      </c>
      <c r="BP139" s="142">
        <f t="shared" si="187"/>
        <v>0</v>
      </c>
      <c r="BQ139" s="142">
        <f t="shared" si="187"/>
        <v>11169156</v>
      </c>
      <c r="BR139" s="142">
        <f t="shared" si="187"/>
        <v>0</v>
      </c>
      <c r="BS139" s="142">
        <f t="shared" si="187"/>
        <v>181391538</v>
      </c>
      <c r="BT139" s="142">
        <f t="shared" si="187"/>
        <v>725271496</v>
      </c>
      <c r="BU139" s="133">
        <f t="shared" si="178"/>
        <v>0.35036763573733548</v>
      </c>
      <c r="BV139" s="32">
        <f t="shared" ref="BV139:CP139" si="188">SUM(BV132:BV138)</f>
        <v>6824890347</v>
      </c>
      <c r="BW139" s="32">
        <f t="shared" si="188"/>
        <v>0</v>
      </c>
      <c r="BX139" s="32">
        <f t="shared" si="188"/>
        <v>0</v>
      </c>
      <c r="BY139" s="32">
        <f t="shared" si="188"/>
        <v>2218011406</v>
      </c>
      <c r="BZ139" s="32">
        <f t="shared" si="188"/>
        <v>45348340</v>
      </c>
      <c r="CA139" s="32">
        <f t="shared" si="188"/>
        <v>1020255744</v>
      </c>
      <c r="CB139" s="32">
        <f t="shared" si="188"/>
        <v>38217031</v>
      </c>
      <c r="CC139" s="32">
        <f t="shared" si="188"/>
        <v>0</v>
      </c>
      <c r="CD139" s="32">
        <f t="shared" si="188"/>
        <v>0</v>
      </c>
      <c r="CE139" s="32">
        <f t="shared" si="188"/>
        <v>0</v>
      </c>
      <c r="CF139" s="32">
        <f t="shared" si="188"/>
        <v>0</v>
      </c>
      <c r="CG139" s="32">
        <f t="shared" si="188"/>
        <v>94856575</v>
      </c>
      <c r="CH139" s="32">
        <f t="shared" si="188"/>
        <v>899475319</v>
      </c>
      <c r="CI139" s="32">
        <f t="shared" si="188"/>
        <v>586037877</v>
      </c>
      <c r="CJ139" s="32">
        <f t="shared" si="188"/>
        <v>360968829</v>
      </c>
      <c r="CK139" s="32">
        <f t="shared" si="188"/>
        <v>659625514</v>
      </c>
      <c r="CL139" s="32">
        <f t="shared" si="188"/>
        <v>0</v>
      </c>
      <c r="CM139" s="32">
        <f t="shared" si="188"/>
        <v>0</v>
      </c>
      <c r="CN139" s="32">
        <f t="shared" si="188"/>
        <v>452887249</v>
      </c>
      <c r="CO139" s="32">
        <f t="shared" si="188"/>
        <v>23350298</v>
      </c>
      <c r="CP139" s="32">
        <f t="shared" si="188"/>
        <v>425856165</v>
      </c>
      <c r="CQ139" s="29">
        <f t="shared" si="180"/>
        <v>0.64963236426266446</v>
      </c>
      <c r="CR139" s="140">
        <f t="shared" ref="CR139:DL139" ca="1" si="189">SUM(CR132:CR138)</f>
        <v>12654335617</v>
      </c>
      <c r="CS139" s="140">
        <f t="shared" si="189"/>
        <v>0</v>
      </c>
      <c r="CT139" s="140">
        <f t="shared" ca="1" si="189"/>
        <v>0</v>
      </c>
      <c r="CU139" s="140">
        <f t="shared" si="189"/>
        <v>6240824231</v>
      </c>
      <c r="CV139" s="140">
        <f t="shared" si="189"/>
        <v>125654987</v>
      </c>
      <c r="CW139" s="140">
        <f t="shared" si="189"/>
        <v>879480906</v>
      </c>
      <c r="CX139" s="140">
        <f t="shared" si="189"/>
        <v>100155955</v>
      </c>
      <c r="CY139" s="140">
        <f t="shared" si="189"/>
        <v>54387</v>
      </c>
      <c r="CZ139" s="140">
        <f t="shared" si="189"/>
        <v>30665828</v>
      </c>
      <c r="DA139" s="140">
        <f t="shared" si="189"/>
        <v>1940856</v>
      </c>
      <c r="DB139" s="140">
        <f t="shared" si="189"/>
        <v>3438802</v>
      </c>
      <c r="DC139" s="140">
        <f t="shared" si="189"/>
        <v>251084882</v>
      </c>
      <c r="DD139" s="140">
        <f t="shared" si="189"/>
        <v>644524681</v>
      </c>
      <c r="DE139" s="140">
        <f t="shared" si="189"/>
        <v>555991746</v>
      </c>
      <c r="DF139" s="140">
        <f t="shared" si="189"/>
        <v>125827811</v>
      </c>
      <c r="DG139" s="140">
        <f t="shared" si="189"/>
        <v>395208254</v>
      </c>
      <c r="DH139" s="140">
        <f t="shared" si="189"/>
        <v>0</v>
      </c>
      <c r="DI139" s="140">
        <f t="shared" si="189"/>
        <v>11169156</v>
      </c>
      <c r="DJ139" s="140">
        <f t="shared" si="189"/>
        <v>2247112751</v>
      </c>
      <c r="DK139" s="140">
        <f t="shared" si="189"/>
        <v>181391538</v>
      </c>
      <c r="DL139" s="140">
        <f t="shared" si="189"/>
        <v>859808846</v>
      </c>
      <c r="DN139" s="33">
        <f t="shared" si="182"/>
        <v>19479225964</v>
      </c>
      <c r="DO139" s="33">
        <f t="shared" si="183"/>
        <v>19479225964</v>
      </c>
      <c r="DP139" s="33">
        <f t="shared" ca="1" si="184"/>
        <v>19479225964</v>
      </c>
    </row>
    <row r="140" spans="3:120" x14ac:dyDescent="0.25">
      <c r="C140" s="137"/>
      <c r="D140" s="126" t="s">
        <v>255</v>
      </c>
      <c r="E140" s="143">
        <v>301</v>
      </c>
      <c r="F140" s="127"/>
      <c r="G140" s="128">
        <f>SUMIF($E$4:$E$127,"301",$G$4:$G$127)</f>
        <v>2524365485</v>
      </c>
      <c r="H140" s="128">
        <f>SUMIF($E$4:$E$127,"301",$H$4:$H$127)</f>
        <v>0</v>
      </c>
      <c r="I140" s="129">
        <f>SUMIF($E$4:$E$127,"301",$I$4:$I$127)</f>
        <v>200000000</v>
      </c>
      <c r="J140" s="129">
        <f>SUMIF($E$4:$E$127,"301",$J$4:$J$127)</f>
        <v>268168096</v>
      </c>
      <c r="K140" s="128">
        <f>SUMIF($E$4:$E$127,"301",$K$4:$K$127)</f>
        <v>0</v>
      </c>
      <c r="L140" s="127">
        <f>SUMIF($E$4:$E$127,"301",$L$4:$L$127)</f>
        <v>701280247</v>
      </c>
      <c r="M140" s="127">
        <f>SUMIF($E$4:$E$127,"301",$M$4:$M$127)</f>
        <v>0</v>
      </c>
      <c r="N140" s="127">
        <f>SUMIF($E$4:$E$127,"301",$N$4:$N$127)</f>
        <v>0</v>
      </c>
      <c r="O140" s="127">
        <f>SUMIF($E$4:$E$127,"301",$O$4:$O$127)</f>
        <v>0</v>
      </c>
      <c r="P140" s="127">
        <f>SUMIF($E$4:$E$127,"301",$P$4:$P$127)</f>
        <v>0</v>
      </c>
      <c r="Q140" s="127">
        <f>SUMIF($E$4:$E$127,"301",$Q$4:$Q$127)</f>
        <v>0</v>
      </c>
      <c r="R140" s="127">
        <f>SUMIF($E$4:$E$127,"301",$R$4:$R$127)</f>
        <v>0</v>
      </c>
      <c r="S140" s="127">
        <f>SUMIF($E$4:$E$127,"301",$S$4:$S$127)</f>
        <v>0</v>
      </c>
      <c r="T140" s="127">
        <f>SUMIF($E$4:$E$127,"301",$T$4:$T$127)</f>
        <v>0</v>
      </c>
      <c r="U140" s="127">
        <f>SUMIF($E$4:$E$127,"301",$U$4:$U$127)</f>
        <v>0</v>
      </c>
      <c r="V140" s="127">
        <f>SUMIF($E$4:$E$127,"301",$V$4:$V$127)</f>
        <v>50000000</v>
      </c>
      <c r="W140" s="127">
        <f>SUMIF($E$4:$E$119,"301",$W$4:$W$119)</f>
        <v>1262551657</v>
      </c>
      <c r="X140" s="127"/>
      <c r="Y140" s="127">
        <f>SUMIF($E$4:$E$119,"301",$Y$4:$Y$119)</f>
        <v>0</v>
      </c>
      <c r="Z140" s="127">
        <f>SUMIF($E$4:$E$127,"301",$Z$4:$Z$127)</f>
        <v>0</v>
      </c>
      <c r="AA140" s="127">
        <f>SUMIF($E$4:$E$127,"301",$AA$4:$AA$127)</f>
        <v>42365485</v>
      </c>
      <c r="AC140" s="130">
        <f t="shared" si="174"/>
        <v>0.80858012483877706</v>
      </c>
      <c r="AD140" s="32">
        <f>SUM(AF140:AX140)</f>
        <v>2041151759</v>
      </c>
      <c r="AE140" s="128">
        <f>SUMIF($E$4:$E$127,"301",$AE$4:$AE$127)</f>
        <v>0</v>
      </c>
      <c r="AF140" s="128">
        <f>SUMIF($E$4:$E$127,"301",$AF$4:$AF$127)</f>
        <v>200000000</v>
      </c>
      <c r="AG140" s="128">
        <f>SUMIF($E$4:$E$127,"301",$AG$4:$AG$127)</f>
        <v>268168096</v>
      </c>
      <c r="AH140" s="128">
        <f>SUMIF($E$4:$E$127,"301",$AH$4:$AH$127)</f>
        <v>0</v>
      </c>
      <c r="AI140" s="128">
        <f>SUMIF($E$4:$E$127,"301",$AI$4:$AI$127)</f>
        <v>701280247</v>
      </c>
      <c r="AJ140" s="128">
        <f>SUMIF($E$4:$E$127,"301",$AJ$4:$AJ$127)</f>
        <v>0</v>
      </c>
      <c r="AK140" s="128">
        <f>SUMIF($E$4:$E$127,"301",$AK$4:$AK$127)</f>
        <v>0</v>
      </c>
      <c r="AL140" s="128">
        <f>SUMIF($E$4:$E$127,"301",$AL$4:$AL$127)</f>
        <v>0</v>
      </c>
      <c r="AM140" s="128">
        <f>SUMIF($E$4:$E$127,"301",$AM$4:$AM$127)</f>
        <v>0</v>
      </c>
      <c r="AN140" s="128">
        <f>SUMIF($E$4:$E$127,"301",$AN$4:$AN$127)</f>
        <v>0</v>
      </c>
      <c r="AO140" s="128">
        <f>SUMIF($E$4:$E$127,"301",$AO$4:$AO$127)</f>
        <v>0</v>
      </c>
      <c r="AP140" s="128">
        <f>SUMIF($E$4:$E$127,"301",$AP$4:$AP$127)</f>
        <v>0</v>
      </c>
      <c r="AQ140" s="128">
        <f>SUMIF($E$4:$E$127,"301",$AQ$4:$AQ$127)</f>
        <v>0</v>
      </c>
      <c r="AR140" s="128">
        <f>SUMIF($E$4:$E$127,"301",$AR$4:$AR$127)</f>
        <v>0</v>
      </c>
      <c r="AS140" s="128">
        <f>SUMIF($E$4:$E$127,"301",$AS$4:$AS$127)</f>
        <v>30058973</v>
      </c>
      <c r="AT140" s="128">
        <f>SUMIF($E$4:$E$127,"301",$AT$4:$AT$127)</f>
        <v>822749581</v>
      </c>
      <c r="AU140" s="128">
        <f>SUMIF($E$4:$E$127,"301",$AU$4:$AU$127)</f>
        <v>0</v>
      </c>
      <c r="AV140" s="128">
        <f>SUMIF($E$4:$E$127,"301",$AV$4:$AV$127)</f>
        <v>0</v>
      </c>
      <c r="AW140" s="128">
        <f>SUMIF($E$4:$E$127,"301",$AW$4:$AW$127)</f>
        <v>0</v>
      </c>
      <c r="AX140" s="128">
        <f>SUMIF($E$4:$E$127,"301",$AX$4:$AX$127)</f>
        <v>18894862</v>
      </c>
      <c r="AY140" s="113">
        <f t="shared" si="176"/>
        <v>0.19141987516122294</v>
      </c>
      <c r="AZ140" s="32">
        <f>SUM(BA140:BT140)</f>
        <v>483213726</v>
      </c>
      <c r="BA140" s="131">
        <f>SUMIF($E$4:$E$127,"301",$BA$4:$BA$127)</f>
        <v>0</v>
      </c>
      <c r="BB140" s="131">
        <f>SUMIF($E$4:$E$127,"301",$BB$4:$BB$127)</f>
        <v>0</v>
      </c>
      <c r="BC140" s="131">
        <f>SUMIF($E$4:$E$127,"301",$BC$4:$BC$127)</f>
        <v>0</v>
      </c>
      <c r="BD140" s="131">
        <f>SUMIF($E$4:$E$127,"301",$BD$4:$BD$127)</f>
        <v>0</v>
      </c>
      <c r="BE140" s="131">
        <f>SUMIF($E$4:$E$127,"301",$BE$4:$BE$127)</f>
        <v>0</v>
      </c>
      <c r="BF140" s="131">
        <f>SUMIF($E$4:$E$127,"301",$BF$4:$BF$127)</f>
        <v>0</v>
      </c>
      <c r="BG140" s="131">
        <f>SUMIF($E$4:$E$127,"301",$BG$4:$BG$127)</f>
        <v>0</v>
      </c>
      <c r="BH140" s="131">
        <f>SUMIF($E$4:$E$127,"301",$BH$4:$BH$127)</f>
        <v>0</v>
      </c>
      <c r="BI140" s="131">
        <f>SUMIF($E$4:$E$127,"301",$BI$4:$BI$127)</f>
        <v>0</v>
      </c>
      <c r="BJ140" s="131">
        <f>SUMIF($E$4:$E$127,"301",$BJ$4:$BJ$127)</f>
        <v>0</v>
      </c>
      <c r="BK140" s="131">
        <f>SUMIF($E$4:$E$127,"301",$BK$4:$BK$127)</f>
        <v>0</v>
      </c>
      <c r="BL140" s="131">
        <f>SUMIF($E$4:$E$127,"301",$BL$4:$BL$127)</f>
        <v>0</v>
      </c>
      <c r="BM140" s="131">
        <f>SUMIF($E$4:$E$127,"301",$BM$4:$BM$127)</f>
        <v>0</v>
      </c>
      <c r="BN140" s="131">
        <f>SUMIF($E$4:$E$127,"301",$BN$4:$BN$127)</f>
        <v>0</v>
      </c>
      <c r="BO140" s="131">
        <f>SUMIF($E$4:$E$127,"301",$BO$4:$BO$127)</f>
        <v>19941027</v>
      </c>
      <c r="BP140" s="131">
        <f>SUMIF($E$4:$E$127,"301",$BP$4:$BP$127)</f>
        <v>439802076</v>
      </c>
      <c r="BQ140" s="131"/>
      <c r="BR140" s="131">
        <f>SUMIF($E$4:$E$127,"301",$BR$4:$BR$127)</f>
        <v>0</v>
      </c>
      <c r="BS140" s="131"/>
      <c r="BT140" s="132">
        <f>SUMIF($E$4:$E$127,"301",$BT$4:$BT$127)</f>
        <v>23470623</v>
      </c>
      <c r="BU140" s="133">
        <f t="shared" si="178"/>
        <v>0.76553122655295691</v>
      </c>
      <c r="BV140" s="32">
        <f>SUM(BX140:CP140)</f>
        <v>1932480606</v>
      </c>
      <c r="BW140" s="128">
        <f>SUMIF($E$4:$E$127,"111",$BW$4:$BW$127)</f>
        <v>0</v>
      </c>
      <c r="BX140" s="128">
        <f>SUMIF($E$4:$E$127,"301",$BX$4:$BX$127)</f>
        <v>192408143</v>
      </c>
      <c r="BY140" s="128">
        <f>SUMIF($E$4:$E$127,"301",$BY$4:$BY$127)</f>
        <v>268168096</v>
      </c>
      <c r="BZ140" s="128">
        <f>SUMIF($E$4:$E$127,"301",$BZ$4:$BZ$127)</f>
        <v>0</v>
      </c>
      <c r="CA140" s="128">
        <f>SUMIF($E$4:$E$127,"301",$CA$4:$CA$127)</f>
        <v>701280247</v>
      </c>
      <c r="CB140" s="128">
        <f>SUMIF($E$4:$E$127,"301",$CB$4:$CB$127)</f>
        <v>0</v>
      </c>
      <c r="CC140" s="128">
        <f>SUMIF($E$4:$E$127,"301",$CC$4:$CC$127)</f>
        <v>0</v>
      </c>
      <c r="CD140" s="128">
        <f>SUMIF($E$4:$E$127,"301",$CD$4:$CD$127)</f>
        <v>0</v>
      </c>
      <c r="CE140" s="128">
        <f>SUMIF($E$4:$E$127,"301",$CE$4:$CE$127)</f>
        <v>0</v>
      </c>
      <c r="CF140" s="128">
        <f>SUMIF($E$4:$E$127,"301",$CF$4:$CF$127)</f>
        <v>0</v>
      </c>
      <c r="CG140" s="128">
        <f>SUMIF($E$4:$E$127,"301",$CG$4:$CG$127)</f>
        <v>0</v>
      </c>
      <c r="CH140" s="128">
        <f>SUMIF($E$4:$E$127,"301",$CH$4:$CH$127)</f>
        <v>0</v>
      </c>
      <c r="CI140" s="128">
        <f>SUMIF($E$4:$E$127,"301",$CI$4:$CI$127)</f>
        <v>0</v>
      </c>
      <c r="CJ140" s="128">
        <f>SUMIF($E$4:$E$127,"301",$CJ$4:$CJ$127)</f>
        <v>0</v>
      </c>
      <c r="CK140" s="128">
        <f>SUMIF($E$4:$E$127,"301",$CK$4:$CK$127)</f>
        <v>30058973</v>
      </c>
      <c r="CL140" s="128">
        <f>SUMIF($E$4:$E$127,"301",$CL$4:$CL$127)</f>
        <v>723539805</v>
      </c>
      <c r="CM140" s="128">
        <f>SUMIF($E$4:$E$127,"301",$CM$4:$CM$127)</f>
        <v>0</v>
      </c>
      <c r="CN140" s="128">
        <f>SUMIF($E$4:$E$127,"301",$CN$4:$CN$127)</f>
        <v>0</v>
      </c>
      <c r="CO140" s="128">
        <f>SUMIF($E$4:$E$127,"301",$CO$4:$CO$127)</f>
        <v>0</v>
      </c>
      <c r="CP140" s="134">
        <f>SUMIF($E$4:$E$127,"301",$CP$4:$CP$127)</f>
        <v>17025342</v>
      </c>
      <c r="CQ140" s="29">
        <f t="shared" si="180"/>
        <v>0.23446877344704309</v>
      </c>
      <c r="CR140" s="32">
        <f>SUM(CS140:DL140)</f>
        <v>591884879</v>
      </c>
      <c r="CS140" s="131">
        <f>SUMIF($E$4:$E$127,"301",$CS$4:$CS$127)</f>
        <v>0</v>
      </c>
      <c r="CT140" s="131">
        <f>SUMIF($E$4:$E$127,"301",$CT$4:$CT$127)</f>
        <v>7591857</v>
      </c>
      <c r="CU140" s="131">
        <f>SUMIF($E$4:$E$127,"301",$CU$4:$CU$127)</f>
        <v>0</v>
      </c>
      <c r="CV140" s="131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5">
        <f>SUMIF($E$4:$E$127,"301",$CZ$4:$CZ$127)</f>
        <v>0</v>
      </c>
      <c r="DA140" s="135">
        <f>SUMIF($E$4:$E$127,"301",$DA$4:$DA$127)</f>
        <v>0</v>
      </c>
      <c r="DB140" s="135">
        <f>SUMIF($E$4:$E$127,"301",$DB$4:$DB$127)</f>
        <v>0</v>
      </c>
      <c r="DC140" s="135">
        <f>SUMIF($E$4:$E$127,"301",$DC$4:$DC$127)</f>
        <v>0</v>
      </c>
      <c r="DD140" s="135">
        <f>SUMIF($E$4:$E$127,"301",$DD$4:$DD$127)</f>
        <v>0</v>
      </c>
      <c r="DE140" s="135">
        <f>SUMIF($E$4:$E$127,"301",$DE$4:$DE$127)</f>
        <v>0</v>
      </c>
      <c r="DF140" s="135">
        <f>SUMIF($E$4:$E$127,"301",$DF$4:$DF$127)</f>
        <v>0</v>
      </c>
      <c r="DG140" s="135">
        <f>SUMIF($E$4:$E$127,"301",$DG$4:$DG$127)</f>
        <v>19941027</v>
      </c>
      <c r="DH140" s="135">
        <f>SUMIF($E$4:$E$127,"301",$DH$4:$DH$127)</f>
        <v>539011852</v>
      </c>
      <c r="DI140" s="135">
        <f>SUMIF($E$4:$E$127,"301",$DI$4:$DI$127)</f>
        <v>0</v>
      </c>
      <c r="DJ140" s="135">
        <f>SUMIF($E$4:$E$127,"301",$DJ$4:$DJ$127)</f>
        <v>0</v>
      </c>
      <c r="DK140" s="135">
        <f>SUMIF($E$4:$E$127,"301",$DK$4:$DK$127)</f>
        <v>0</v>
      </c>
      <c r="DL140" s="135">
        <f>SUMIF($E$4:$E$127,"301",$DL$4:$DL$127)</f>
        <v>25340143</v>
      </c>
      <c r="DN140" s="33">
        <f t="shared" si="182"/>
        <v>2524365485</v>
      </c>
      <c r="DO140" s="33">
        <f t="shared" si="183"/>
        <v>2524365485</v>
      </c>
      <c r="DP140" s="33">
        <f t="shared" si="184"/>
        <v>2524365485</v>
      </c>
    </row>
    <row r="141" spans="3:120" ht="15.75" thickBot="1" x14ac:dyDescent="0.3">
      <c r="C141" s="256" t="s">
        <v>364</v>
      </c>
      <c r="D141" s="257"/>
      <c r="E141" s="144"/>
      <c r="F141" s="145"/>
      <c r="G141" s="146">
        <f t="shared" ref="G141:AB141" si="190">SUM(G139:G140)</f>
        <v>22003591449</v>
      </c>
      <c r="H141" s="146">
        <f t="shared" si="190"/>
        <v>0</v>
      </c>
      <c r="I141" s="146">
        <f t="shared" si="190"/>
        <v>200000000</v>
      </c>
      <c r="J141" s="146">
        <f t="shared" si="190"/>
        <v>8727003733</v>
      </c>
      <c r="K141" s="146">
        <f t="shared" si="190"/>
        <v>171003327</v>
      </c>
      <c r="L141" s="146">
        <f t="shared" si="190"/>
        <v>2601016897</v>
      </c>
      <c r="M141" s="146">
        <f t="shared" si="190"/>
        <v>138372986</v>
      </c>
      <c r="N141" s="146">
        <f t="shared" si="190"/>
        <v>54387</v>
      </c>
      <c r="O141" s="146">
        <f t="shared" si="190"/>
        <v>30665828</v>
      </c>
      <c r="P141" s="146">
        <f t="shared" si="190"/>
        <v>1940856</v>
      </c>
      <c r="Q141" s="146">
        <f t="shared" si="190"/>
        <v>3438802</v>
      </c>
      <c r="R141" s="146">
        <f t="shared" si="190"/>
        <v>345941457</v>
      </c>
      <c r="S141" s="146">
        <f t="shared" si="190"/>
        <v>1544000000</v>
      </c>
      <c r="T141" s="146">
        <f t="shared" si="190"/>
        <v>1142029623</v>
      </c>
      <c r="U141" s="147">
        <f t="shared" si="190"/>
        <v>486796640</v>
      </c>
      <c r="V141" s="146">
        <f t="shared" si="190"/>
        <v>1104833768</v>
      </c>
      <c r="W141" s="146">
        <f t="shared" si="190"/>
        <v>1262551657</v>
      </c>
      <c r="X141" s="146">
        <f t="shared" si="190"/>
        <v>11169156</v>
      </c>
      <c r="Y141" s="146">
        <f t="shared" si="190"/>
        <v>2700000000</v>
      </c>
      <c r="Z141" s="146">
        <f t="shared" si="190"/>
        <v>204741836</v>
      </c>
      <c r="AA141" s="146">
        <f t="shared" si="190"/>
        <v>1328030496</v>
      </c>
      <c r="AB141" s="146">
        <f t="shared" si="190"/>
        <v>0</v>
      </c>
      <c r="AC141" s="148">
        <f t="shared" si="174"/>
        <v>0.67557288770127444</v>
      </c>
      <c r="AD141" s="149">
        <f t="shared" ref="AD141:AX141" si="191">AD139+AD140</f>
        <v>14865029815</v>
      </c>
      <c r="AE141" s="149">
        <f t="shared" si="191"/>
        <v>0</v>
      </c>
      <c r="AF141" s="149">
        <f t="shared" si="191"/>
        <v>200000000</v>
      </c>
      <c r="AG141" s="149">
        <f t="shared" si="191"/>
        <v>4642173051</v>
      </c>
      <c r="AH141" s="149">
        <f t="shared" si="191"/>
        <v>52220600</v>
      </c>
      <c r="AI141" s="149">
        <f t="shared" si="191"/>
        <v>2105771040</v>
      </c>
      <c r="AJ141" s="149">
        <f t="shared" si="191"/>
        <v>38217031</v>
      </c>
      <c r="AK141" s="149">
        <f t="shared" si="191"/>
        <v>0</v>
      </c>
      <c r="AL141" s="149">
        <f t="shared" si="191"/>
        <v>0</v>
      </c>
      <c r="AM141" s="149">
        <f t="shared" si="191"/>
        <v>0</v>
      </c>
      <c r="AN141" s="149">
        <f t="shared" si="191"/>
        <v>0</v>
      </c>
      <c r="AO141" s="149">
        <f t="shared" si="191"/>
        <v>164856575</v>
      </c>
      <c r="AP141" s="149">
        <f t="shared" si="191"/>
        <v>1496388655</v>
      </c>
      <c r="AQ141" s="149">
        <f t="shared" si="191"/>
        <v>775628761</v>
      </c>
      <c r="AR141" s="149">
        <f t="shared" si="191"/>
        <v>486796640</v>
      </c>
      <c r="AS141" s="149">
        <f t="shared" si="191"/>
        <v>777589206</v>
      </c>
      <c r="AT141" s="149">
        <f t="shared" si="191"/>
        <v>822749581</v>
      </c>
      <c r="AU141" s="149">
        <f t="shared" si="191"/>
        <v>0</v>
      </c>
      <c r="AV141" s="149">
        <f t="shared" si="191"/>
        <v>2700000000</v>
      </c>
      <c r="AW141" s="149">
        <f t="shared" si="191"/>
        <v>23350298</v>
      </c>
      <c r="AX141" s="149">
        <f t="shared" si="191"/>
        <v>579288377</v>
      </c>
      <c r="AY141" s="113">
        <f t="shared" si="176"/>
        <v>0.32442711229872556</v>
      </c>
      <c r="AZ141" s="149">
        <f>AZ139+AZ140</f>
        <v>7138561634</v>
      </c>
      <c r="BA141" s="149">
        <f>BA139+BA140</f>
        <v>0</v>
      </c>
      <c r="BB141" s="149">
        <f>BB139+BB140</f>
        <v>0</v>
      </c>
      <c r="BC141" s="150">
        <f t="shared" ref="BC141:BT141" si="192">+BC139+BC140</f>
        <v>4084830682</v>
      </c>
      <c r="BD141" s="150">
        <f t="shared" si="192"/>
        <v>118782727</v>
      </c>
      <c r="BE141" s="150">
        <f t="shared" si="192"/>
        <v>495245857</v>
      </c>
      <c r="BF141" s="150">
        <f t="shared" si="192"/>
        <v>100155955</v>
      </c>
      <c r="BG141" s="150">
        <f t="shared" si="192"/>
        <v>54387</v>
      </c>
      <c r="BH141" s="150">
        <f t="shared" si="192"/>
        <v>30665828</v>
      </c>
      <c r="BI141" s="150">
        <f t="shared" si="192"/>
        <v>1940856</v>
      </c>
      <c r="BJ141" s="150">
        <f t="shared" si="192"/>
        <v>3438802</v>
      </c>
      <c r="BK141" s="150">
        <f t="shared" si="192"/>
        <v>181084882</v>
      </c>
      <c r="BL141" s="150">
        <f t="shared" si="192"/>
        <v>47611345</v>
      </c>
      <c r="BM141" s="150">
        <f t="shared" si="192"/>
        <v>366400862</v>
      </c>
      <c r="BN141" s="150">
        <f t="shared" si="192"/>
        <v>0</v>
      </c>
      <c r="BO141" s="150">
        <f t="shared" si="192"/>
        <v>327244562</v>
      </c>
      <c r="BP141" s="150">
        <f t="shared" si="192"/>
        <v>439802076</v>
      </c>
      <c r="BQ141" s="150">
        <f t="shared" si="192"/>
        <v>11169156</v>
      </c>
      <c r="BR141" s="150">
        <f t="shared" si="192"/>
        <v>0</v>
      </c>
      <c r="BS141" s="150">
        <f t="shared" si="192"/>
        <v>181391538</v>
      </c>
      <c r="BT141" s="150">
        <f t="shared" si="192"/>
        <v>748742119</v>
      </c>
      <c r="BU141" s="151">
        <f t="shared" si="178"/>
        <v>0.39799734390169278</v>
      </c>
      <c r="BV141" s="152">
        <f>+BV139+BV140</f>
        <v>8757370953</v>
      </c>
      <c r="BW141" s="150">
        <f>+BW139+BW140</f>
        <v>0</v>
      </c>
      <c r="BX141" s="150">
        <f>+BX139+BX140</f>
        <v>192408143</v>
      </c>
      <c r="BY141" s="150">
        <f>+BY139+BY140</f>
        <v>2486179502</v>
      </c>
      <c r="BZ141" s="150">
        <f>+BZ139+BZ140</f>
        <v>45348340</v>
      </c>
      <c r="CA141" s="146">
        <f t="shared" ref="CA141:CP141" si="193">SUM(CA139:CA140)</f>
        <v>1721535991</v>
      </c>
      <c r="CB141" s="146">
        <f t="shared" si="193"/>
        <v>38217031</v>
      </c>
      <c r="CC141" s="146">
        <f t="shared" si="193"/>
        <v>0</v>
      </c>
      <c r="CD141" s="146">
        <f t="shared" si="193"/>
        <v>0</v>
      </c>
      <c r="CE141" s="146">
        <f t="shared" si="193"/>
        <v>0</v>
      </c>
      <c r="CF141" s="146">
        <f t="shared" si="193"/>
        <v>0</v>
      </c>
      <c r="CG141" s="146">
        <f t="shared" si="193"/>
        <v>94856575</v>
      </c>
      <c r="CH141" s="146">
        <f t="shared" si="193"/>
        <v>899475319</v>
      </c>
      <c r="CI141" s="146">
        <f t="shared" si="193"/>
        <v>586037877</v>
      </c>
      <c r="CJ141" s="146">
        <f t="shared" si="193"/>
        <v>360968829</v>
      </c>
      <c r="CK141" s="146">
        <f t="shared" si="193"/>
        <v>689684487</v>
      </c>
      <c r="CL141" s="146">
        <f t="shared" si="193"/>
        <v>723539805</v>
      </c>
      <c r="CM141" s="146">
        <f t="shared" si="193"/>
        <v>0</v>
      </c>
      <c r="CN141" s="146">
        <f t="shared" si="193"/>
        <v>452887249</v>
      </c>
      <c r="CO141" s="146">
        <f t="shared" si="193"/>
        <v>23350298</v>
      </c>
      <c r="CP141" s="153">
        <f t="shared" si="193"/>
        <v>442881507</v>
      </c>
      <c r="CQ141" s="154">
        <f t="shared" si="180"/>
        <v>0.60200265609830717</v>
      </c>
      <c r="CR141" s="146">
        <f t="shared" ref="CR141:DL141" ca="1" si="194">SUM(CR139:CR140)</f>
        <v>13246220496</v>
      </c>
      <c r="CS141" s="153">
        <f t="shared" si="194"/>
        <v>0</v>
      </c>
      <c r="CT141" s="153">
        <f t="shared" ca="1" si="194"/>
        <v>7591857</v>
      </c>
      <c r="CU141" s="153">
        <f t="shared" si="194"/>
        <v>6240824231</v>
      </c>
      <c r="CV141" s="153">
        <f t="shared" si="194"/>
        <v>125654987</v>
      </c>
      <c r="CW141" s="146">
        <f t="shared" si="194"/>
        <v>879480906</v>
      </c>
      <c r="CX141" s="146">
        <f t="shared" si="194"/>
        <v>100155955</v>
      </c>
      <c r="CY141" s="146">
        <f t="shared" si="194"/>
        <v>54387</v>
      </c>
      <c r="CZ141" s="155">
        <f t="shared" si="194"/>
        <v>30665828</v>
      </c>
      <c r="DA141" s="155">
        <f t="shared" si="194"/>
        <v>1940856</v>
      </c>
      <c r="DB141" s="155">
        <f t="shared" si="194"/>
        <v>3438802</v>
      </c>
      <c r="DC141" s="155">
        <f t="shared" si="194"/>
        <v>251084882</v>
      </c>
      <c r="DD141" s="155">
        <f t="shared" si="194"/>
        <v>644524681</v>
      </c>
      <c r="DE141" s="155">
        <f t="shared" si="194"/>
        <v>555991746</v>
      </c>
      <c r="DF141" s="155">
        <f t="shared" si="194"/>
        <v>125827811</v>
      </c>
      <c r="DG141" s="155">
        <f t="shared" si="194"/>
        <v>415149281</v>
      </c>
      <c r="DH141" s="155">
        <f t="shared" si="194"/>
        <v>539011852</v>
      </c>
      <c r="DI141" s="155">
        <f t="shared" si="194"/>
        <v>11169156</v>
      </c>
      <c r="DJ141" s="155">
        <f t="shared" si="194"/>
        <v>2247112751</v>
      </c>
      <c r="DK141" s="155">
        <f t="shared" si="194"/>
        <v>181391538</v>
      </c>
      <c r="DL141" s="155">
        <f t="shared" si="194"/>
        <v>885148989</v>
      </c>
      <c r="DN141" s="33">
        <f t="shared" si="182"/>
        <v>22003591449</v>
      </c>
      <c r="DO141" s="33">
        <f t="shared" si="183"/>
        <v>22003591449</v>
      </c>
      <c r="DP141" s="33">
        <f t="shared" ca="1" si="184"/>
        <v>22003591449</v>
      </c>
    </row>
    <row r="142" spans="3:120" ht="15.75" thickTop="1" x14ac:dyDescent="0.25">
      <c r="G142" s="58">
        <f>+G130-G141</f>
        <v>0</v>
      </c>
      <c r="H142" s="58"/>
      <c r="I142" s="58">
        <f t="shared" ref="I142:W142" si="195">+I130-I141</f>
        <v>0</v>
      </c>
      <c r="J142" s="58">
        <f t="shared" si="195"/>
        <v>0</v>
      </c>
      <c r="K142" s="58">
        <f t="shared" si="195"/>
        <v>0</v>
      </c>
      <c r="L142" s="58">
        <f t="shared" si="195"/>
        <v>0</v>
      </c>
      <c r="M142" s="58">
        <f t="shared" si="195"/>
        <v>0</v>
      </c>
      <c r="N142" s="58">
        <f t="shared" si="195"/>
        <v>0</v>
      </c>
      <c r="O142" s="58">
        <f t="shared" si="195"/>
        <v>0</v>
      </c>
      <c r="P142" s="58">
        <f t="shared" si="195"/>
        <v>0</v>
      </c>
      <c r="Q142" s="58">
        <f t="shared" si="195"/>
        <v>0</v>
      </c>
      <c r="R142" s="58">
        <f t="shared" si="195"/>
        <v>0</v>
      </c>
      <c r="S142" s="58">
        <f t="shared" si="195"/>
        <v>0</v>
      </c>
      <c r="T142" s="58">
        <f t="shared" si="195"/>
        <v>0</v>
      </c>
      <c r="U142" s="58">
        <f t="shared" si="195"/>
        <v>0</v>
      </c>
      <c r="V142" s="58">
        <f t="shared" si="195"/>
        <v>0</v>
      </c>
      <c r="W142" s="58">
        <f t="shared" si="195"/>
        <v>0</v>
      </c>
      <c r="X142" s="58"/>
      <c r="Y142" s="58">
        <f>+Y130-Y141</f>
        <v>0</v>
      </c>
      <c r="Z142" s="58">
        <f>+Z130-Z141</f>
        <v>0</v>
      </c>
      <c r="AA142" s="58">
        <f>+AA130-AA141</f>
        <v>0</v>
      </c>
      <c r="AD142" s="58">
        <f t="shared" ref="AD142:AT142" si="196">+AD130-AD141</f>
        <v>0</v>
      </c>
      <c r="AE142" s="58">
        <f t="shared" si="196"/>
        <v>0</v>
      </c>
      <c r="AF142" s="58">
        <f t="shared" si="196"/>
        <v>0</v>
      </c>
      <c r="AG142" s="58">
        <f t="shared" si="196"/>
        <v>0</v>
      </c>
      <c r="AH142" s="58">
        <f t="shared" si="196"/>
        <v>0</v>
      </c>
      <c r="AI142" s="58">
        <f t="shared" si="196"/>
        <v>0</v>
      </c>
      <c r="AJ142" s="58">
        <f t="shared" si="196"/>
        <v>0</v>
      </c>
      <c r="AK142" s="58">
        <f t="shared" si="196"/>
        <v>0</v>
      </c>
      <c r="AL142" s="58">
        <f t="shared" si="196"/>
        <v>0</v>
      </c>
      <c r="AM142" s="58">
        <f t="shared" si="196"/>
        <v>0</v>
      </c>
      <c r="AN142" s="58">
        <f t="shared" si="196"/>
        <v>0</v>
      </c>
      <c r="AO142" s="58">
        <f t="shared" si="196"/>
        <v>0</v>
      </c>
      <c r="AP142" s="58">
        <f t="shared" si="196"/>
        <v>0</v>
      </c>
      <c r="AQ142" s="58">
        <f t="shared" si="196"/>
        <v>0</v>
      </c>
      <c r="AR142" s="58">
        <f t="shared" si="196"/>
        <v>0</v>
      </c>
      <c r="AS142" s="58">
        <f t="shared" si="196"/>
        <v>0</v>
      </c>
      <c r="AT142" s="58">
        <f t="shared" si="196"/>
        <v>0</v>
      </c>
      <c r="AU142" s="58"/>
      <c r="AV142" s="58">
        <f>+AV130-AV141</f>
        <v>0</v>
      </c>
      <c r="AW142" s="58">
        <f>+AW130-AW141</f>
        <v>0</v>
      </c>
      <c r="AX142" s="58">
        <f>+AX130-AX141</f>
        <v>0</v>
      </c>
      <c r="AZ142" s="58">
        <f>+AZ130-AZ141</f>
        <v>0</v>
      </c>
      <c r="BA142" s="58"/>
      <c r="BB142" s="58">
        <f t="shared" ref="BB142:BP142" si="197">+BB130-BB141</f>
        <v>0</v>
      </c>
      <c r="BC142" s="58">
        <f t="shared" si="197"/>
        <v>0</v>
      </c>
      <c r="BD142" s="58">
        <f t="shared" si="197"/>
        <v>0</v>
      </c>
      <c r="BE142" s="58">
        <f t="shared" si="197"/>
        <v>0</v>
      </c>
      <c r="BF142" s="58">
        <f t="shared" si="197"/>
        <v>0</v>
      </c>
      <c r="BG142" s="58">
        <f t="shared" si="197"/>
        <v>0</v>
      </c>
      <c r="BH142" s="58">
        <f t="shared" si="197"/>
        <v>0</v>
      </c>
      <c r="BI142" s="58">
        <f t="shared" si="197"/>
        <v>0</v>
      </c>
      <c r="BJ142" s="58">
        <f t="shared" si="197"/>
        <v>0</v>
      </c>
      <c r="BK142" s="58">
        <f t="shared" si="197"/>
        <v>0</v>
      </c>
      <c r="BL142" s="58">
        <f t="shared" si="197"/>
        <v>0</v>
      </c>
      <c r="BM142" s="58">
        <f t="shared" si="197"/>
        <v>0</v>
      </c>
      <c r="BN142" s="58">
        <f t="shared" si="197"/>
        <v>0</v>
      </c>
      <c r="BO142" s="58">
        <f t="shared" si="197"/>
        <v>0</v>
      </c>
      <c r="BP142" s="58">
        <f t="shared" si="197"/>
        <v>0</v>
      </c>
      <c r="BQ142" s="58"/>
      <c r="BR142" s="58">
        <f>+BR130-BR141</f>
        <v>0</v>
      </c>
      <c r="BS142" s="58">
        <f>+BS130-BS141</f>
        <v>0</v>
      </c>
      <c r="BT142" s="58">
        <f>+BT130-BT141</f>
        <v>0</v>
      </c>
      <c r="BV142" s="58">
        <f>+BV130-BV141</f>
        <v>0</v>
      </c>
      <c r="BW142" s="58"/>
      <c r="BX142" s="58">
        <f t="shared" ref="BX142:CP142" si="198">+BX130-BX141</f>
        <v>0</v>
      </c>
      <c r="BY142" s="58">
        <f t="shared" si="198"/>
        <v>0</v>
      </c>
      <c r="BZ142" s="58">
        <f t="shared" si="198"/>
        <v>0</v>
      </c>
      <c r="CA142" s="58">
        <f t="shared" si="198"/>
        <v>0</v>
      </c>
      <c r="CB142" s="58">
        <f t="shared" si="198"/>
        <v>0</v>
      </c>
      <c r="CC142" s="58">
        <f t="shared" si="198"/>
        <v>0</v>
      </c>
      <c r="CD142" s="58">
        <f t="shared" si="198"/>
        <v>0</v>
      </c>
      <c r="CE142" s="58">
        <f t="shared" si="198"/>
        <v>0</v>
      </c>
      <c r="CF142" s="58">
        <f t="shared" si="198"/>
        <v>0</v>
      </c>
      <c r="CG142" s="58">
        <f t="shared" si="198"/>
        <v>0</v>
      </c>
      <c r="CH142" s="58">
        <f t="shared" si="198"/>
        <v>0</v>
      </c>
      <c r="CI142" s="58">
        <f t="shared" si="198"/>
        <v>0</v>
      </c>
      <c r="CJ142" s="58">
        <f t="shared" si="198"/>
        <v>0</v>
      </c>
      <c r="CK142" s="58">
        <f t="shared" si="198"/>
        <v>0</v>
      </c>
      <c r="CL142" s="58">
        <f t="shared" si="198"/>
        <v>0</v>
      </c>
      <c r="CM142" s="58">
        <f t="shared" si="198"/>
        <v>0</v>
      </c>
      <c r="CN142" s="58">
        <f t="shared" si="198"/>
        <v>0</v>
      </c>
      <c r="CO142" s="58">
        <f t="shared" si="198"/>
        <v>0</v>
      </c>
      <c r="CP142" s="58">
        <f t="shared" si="198"/>
        <v>0</v>
      </c>
      <c r="CQ142" s="58"/>
      <c r="CR142" s="58">
        <f ca="1">+CR130-CR141</f>
        <v>0</v>
      </c>
      <c r="CS142" s="58"/>
      <c r="CT142" s="58">
        <f t="shared" ref="CT142:DL142" ca="1" si="199">+CT130-CT141</f>
        <v>0</v>
      </c>
      <c r="CU142" s="58">
        <f t="shared" si="199"/>
        <v>0</v>
      </c>
      <c r="CV142" s="58">
        <f t="shared" si="199"/>
        <v>0</v>
      </c>
      <c r="CW142" s="58">
        <f t="shared" si="199"/>
        <v>0</v>
      </c>
      <c r="CX142" s="58">
        <f t="shared" si="199"/>
        <v>0</v>
      </c>
      <c r="CY142" s="58">
        <f t="shared" si="199"/>
        <v>0</v>
      </c>
      <c r="CZ142" s="58">
        <f t="shared" si="199"/>
        <v>0</v>
      </c>
      <c r="DA142" s="58">
        <f t="shared" si="199"/>
        <v>0</v>
      </c>
      <c r="DB142" s="58">
        <f t="shared" si="199"/>
        <v>0</v>
      </c>
      <c r="DC142" s="58">
        <f t="shared" si="199"/>
        <v>0</v>
      </c>
      <c r="DD142" s="58">
        <f t="shared" si="199"/>
        <v>0</v>
      </c>
      <c r="DE142" s="58">
        <f t="shared" si="199"/>
        <v>0</v>
      </c>
      <c r="DF142" s="58">
        <f t="shared" si="199"/>
        <v>0</v>
      </c>
      <c r="DG142" s="58">
        <f t="shared" si="199"/>
        <v>0</v>
      </c>
      <c r="DH142" s="58">
        <f t="shared" si="199"/>
        <v>0</v>
      </c>
      <c r="DI142" s="58">
        <f t="shared" si="199"/>
        <v>0</v>
      </c>
      <c r="DJ142" s="58">
        <f t="shared" si="199"/>
        <v>0</v>
      </c>
      <c r="DK142" s="58">
        <f t="shared" si="199"/>
        <v>0</v>
      </c>
      <c r="DL142" s="58">
        <f t="shared" si="199"/>
        <v>0</v>
      </c>
    </row>
    <row r="143" spans="3:120" x14ac:dyDescent="0.25">
      <c r="C143" s="50"/>
      <c r="D143" s="156"/>
    </row>
    <row r="144" spans="3:120" ht="15.75" x14ac:dyDescent="0.25">
      <c r="D144" s="157"/>
      <c r="F144" s="58"/>
      <c r="V144" s="58"/>
      <c r="AD144" s="58"/>
    </row>
    <row r="145" spans="4:74" x14ac:dyDescent="0.25">
      <c r="D145" s="158"/>
      <c r="F145" s="58"/>
      <c r="G145" s="58"/>
      <c r="AD145" s="58"/>
      <c r="BV145" s="58"/>
    </row>
    <row r="146" spans="4:74" x14ac:dyDescent="0.25">
      <c r="F146" s="58"/>
      <c r="AD146" s="58">
        <f>+AD141+AZ141</f>
        <v>22003591449</v>
      </c>
      <c r="BV146" s="58">
        <f ca="1">+BV141+CR141</f>
        <v>22003591449</v>
      </c>
    </row>
    <row r="147" spans="4:74" x14ac:dyDescent="0.25">
      <c r="F147" s="58"/>
      <c r="G147" s="58"/>
      <c r="AD147" s="58"/>
      <c r="AE147" s="58"/>
      <c r="BV147" s="58"/>
    </row>
    <row r="148" spans="4:74" x14ac:dyDescent="0.25">
      <c r="F148" s="159"/>
      <c r="AS148" s="58"/>
    </row>
    <row r="149" spans="4:74" x14ac:dyDescent="0.25">
      <c r="G149" s="58"/>
      <c r="AD149" s="58"/>
    </row>
    <row r="151" spans="4:74" x14ac:dyDescent="0.25">
      <c r="Y151" s="58"/>
      <c r="AD151" s="58"/>
    </row>
    <row r="153" spans="4:74" x14ac:dyDescent="0.25">
      <c r="H153" s="58"/>
    </row>
  </sheetData>
  <mergeCells count="60">
    <mergeCell ref="A122:A127"/>
    <mergeCell ref="B122:B124"/>
    <mergeCell ref="B128:D128"/>
    <mergeCell ref="C130:E130"/>
    <mergeCell ref="C141:D141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CR2:DB2"/>
    <mergeCell ref="DC2:DL2"/>
    <mergeCell ref="B4:B6"/>
    <mergeCell ref="B8:B12"/>
    <mergeCell ref="B14:B16"/>
    <mergeCell ref="BX2:CG2"/>
    <mergeCell ref="CI2:CP2"/>
    <mergeCell ref="B18:B19"/>
    <mergeCell ref="G2:AA2"/>
    <mergeCell ref="AD2:AX2"/>
    <mergeCell ref="BB2:BJ2"/>
    <mergeCell ref="BK2:BT2"/>
    <mergeCell ref="F2:F3"/>
    <mergeCell ref="A2:A3"/>
    <mergeCell ref="B2:B3"/>
    <mergeCell ref="C2:C3"/>
    <mergeCell ref="D2:D3"/>
    <mergeCell ref="E2:E3"/>
    <mergeCell ref="CR1:DL1"/>
    <mergeCell ref="C1:F1"/>
    <mergeCell ref="G1:AA1"/>
    <mergeCell ref="AD1:AX1"/>
    <mergeCell ref="BB1:BU1"/>
    <mergeCell ref="BV1:CP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162 DEL 10 DE JUNIO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42"/>
  <sheetViews>
    <sheetView showGridLines="0" topLeftCell="C1" zoomScaleNormal="100" zoomScalePageLayoutView="50" workbookViewId="0">
      <pane xSplit="1" ySplit="3" topLeftCell="D126" activePane="bottomRight" state="frozen"/>
      <selection activeCell="C1" sqref="C1"/>
      <selection pane="topRight" activeCell="D1" sqref="D1"/>
      <selection pane="bottomLeft" activeCell="C4" sqref="C4"/>
      <selection pane="bottomRight" activeCell="G1" sqref="G1:AA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66.7109375" customWidth="1"/>
    <col min="5" max="5" width="6.28515625" customWidth="1"/>
    <col min="6" max="6" width="14.28515625" customWidth="1"/>
    <col min="7" max="7" width="16.140625" customWidth="1"/>
    <col min="8" max="8" width="11.28515625" hidden="1" customWidth="1"/>
    <col min="9" max="9" width="11.42578125" hidden="1" customWidth="1"/>
    <col min="10" max="10" width="12.7109375" hidden="1" customWidth="1"/>
    <col min="11" max="11" width="12.5703125" hidden="1" customWidth="1"/>
    <col min="12" max="12" width="12.28515625" hidden="1" customWidth="1"/>
    <col min="13" max="13" width="11.5703125" hidden="1" customWidth="1"/>
    <col min="14" max="14" width="8.42578125" hidden="1" customWidth="1"/>
    <col min="15" max="15" width="10.140625" hidden="1" customWidth="1"/>
    <col min="16" max="16" width="10.7109375" hidden="1" customWidth="1"/>
    <col min="17" max="17" width="11" hidden="1" customWidth="1"/>
    <col min="18" max="18" width="11.140625" hidden="1" customWidth="1"/>
    <col min="19" max="19" width="12.7109375" hidden="1" customWidth="1"/>
    <col min="20" max="20" width="12.28515625" hidden="1" customWidth="1"/>
    <col min="21" max="21" width="11.140625" hidden="1" customWidth="1"/>
    <col min="22" max="23" width="12.7109375" hidden="1" customWidth="1"/>
    <col min="24" max="24" width="11.28515625" hidden="1" customWidth="1"/>
    <col min="25" max="25" width="12.7109375" hidden="1" customWidth="1"/>
    <col min="26" max="27" width="12.28515625" hidden="1" customWidth="1"/>
    <col min="28" max="28" width="2" bestFit="1" customWidth="1"/>
    <col min="29" max="29" width="8.28515625" bestFit="1" customWidth="1"/>
    <col min="30" max="30" width="14.4257812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6" width="17.7109375" hidden="1" customWidth="1"/>
    <col min="47" max="47" width="13.4257812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11" customWidth="1"/>
    <col min="52" max="52" width="14.85546875" customWidth="1"/>
    <col min="53" max="53" width="10" hidden="1" customWidth="1"/>
    <col min="54" max="54" width="14.5703125" hidden="1" customWidth="1"/>
    <col min="55" max="55" width="15.140625" hidden="1" customWidth="1"/>
    <col min="56" max="56" width="14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4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9.7109375" customWidth="1"/>
    <col min="96" max="96" width="15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</cols>
  <sheetData>
    <row r="1" spans="1:116" ht="18" customHeight="1" x14ac:dyDescent="0.3">
      <c r="C1" s="201" t="s">
        <v>0</v>
      </c>
      <c r="D1" s="201"/>
      <c r="E1" s="201"/>
      <c r="F1" s="201"/>
      <c r="G1" s="266" t="s">
        <v>11</v>
      </c>
      <c r="H1" s="266" t="s">
        <v>11</v>
      </c>
      <c r="I1" s="266" t="s">
        <v>11</v>
      </c>
      <c r="J1" s="266" t="s">
        <v>11</v>
      </c>
      <c r="K1" s="266" t="s">
        <v>11</v>
      </c>
      <c r="L1" s="266" t="s">
        <v>11</v>
      </c>
      <c r="M1" s="266" t="s">
        <v>11</v>
      </c>
      <c r="N1" s="266" t="s">
        <v>11</v>
      </c>
      <c r="O1" s="266" t="s">
        <v>11</v>
      </c>
      <c r="P1" s="266" t="s">
        <v>11</v>
      </c>
      <c r="Q1" s="266" t="s">
        <v>11</v>
      </c>
      <c r="R1" s="266" t="s">
        <v>11</v>
      </c>
      <c r="S1" s="266" t="s">
        <v>11</v>
      </c>
      <c r="T1" s="266" t="s">
        <v>11</v>
      </c>
      <c r="U1" s="266" t="s">
        <v>11</v>
      </c>
      <c r="V1" s="266" t="s">
        <v>11</v>
      </c>
      <c r="W1" s="266" t="s">
        <v>11</v>
      </c>
      <c r="X1" s="266" t="s">
        <v>11</v>
      </c>
      <c r="Y1" s="266" t="s">
        <v>11</v>
      </c>
      <c r="Z1" s="266" t="s">
        <v>11</v>
      </c>
      <c r="AA1" s="266" t="s">
        <v>11</v>
      </c>
      <c r="AB1" s="1"/>
      <c r="AC1" s="258" t="s">
        <v>368</v>
      </c>
      <c r="AD1" s="259"/>
      <c r="AE1" s="258" t="s">
        <v>368</v>
      </c>
      <c r="AF1" s="259"/>
      <c r="AG1" s="258" t="s">
        <v>368</v>
      </c>
      <c r="AH1" s="259"/>
      <c r="AI1" s="258" t="s">
        <v>368</v>
      </c>
      <c r="AJ1" s="259"/>
      <c r="AK1" s="258" t="s">
        <v>368</v>
      </c>
      <c r="AL1" s="259"/>
      <c r="AM1" s="258" t="s">
        <v>368</v>
      </c>
      <c r="AN1" s="259"/>
      <c r="AO1" s="258" t="s">
        <v>368</v>
      </c>
      <c r="AP1" s="259"/>
      <c r="AQ1" s="258" t="s">
        <v>368</v>
      </c>
      <c r="AR1" s="259"/>
      <c r="AS1" s="258" t="s">
        <v>368</v>
      </c>
      <c r="AT1" s="259"/>
      <c r="AU1" s="258" t="s">
        <v>368</v>
      </c>
      <c r="AV1" s="259"/>
      <c r="AW1" s="258" t="s">
        <v>368</v>
      </c>
      <c r="AX1" s="259"/>
      <c r="AY1" s="262" t="s">
        <v>370</v>
      </c>
      <c r="AZ1" s="263"/>
      <c r="BA1" s="5"/>
      <c r="BB1" s="269" t="s">
        <v>371</v>
      </c>
      <c r="BC1" s="269"/>
      <c r="BD1" s="165"/>
      <c r="BE1" s="165"/>
      <c r="BF1" s="165"/>
      <c r="BG1" s="165"/>
      <c r="BH1" s="165"/>
      <c r="BI1" s="165"/>
      <c r="BJ1" s="165"/>
      <c r="BK1" s="165"/>
      <c r="BL1" s="165"/>
      <c r="BM1" s="165"/>
      <c r="BN1" s="165"/>
      <c r="BO1" s="165"/>
      <c r="BP1" s="165"/>
      <c r="BQ1" s="165"/>
      <c r="BR1" s="165"/>
      <c r="BS1" s="165"/>
      <c r="BT1" s="165"/>
      <c r="BU1" s="269" t="s">
        <v>371</v>
      </c>
      <c r="BV1" s="269"/>
      <c r="BW1" s="165"/>
      <c r="BX1" s="165"/>
      <c r="BY1" s="165"/>
      <c r="BZ1" s="165"/>
      <c r="CA1" s="165"/>
      <c r="CB1" s="165"/>
      <c r="CC1" s="165"/>
      <c r="CD1" s="165"/>
      <c r="CE1" s="165"/>
      <c r="CF1" s="165"/>
      <c r="CG1" s="165"/>
      <c r="CH1" s="165"/>
      <c r="CI1" s="165"/>
      <c r="CJ1" s="165"/>
      <c r="CK1" s="165"/>
      <c r="CL1" s="165"/>
      <c r="CM1" s="165"/>
      <c r="CN1" s="165"/>
      <c r="CO1" s="165"/>
      <c r="CP1" s="166"/>
      <c r="CQ1" s="270" t="s">
        <v>372</v>
      </c>
      <c r="CR1" s="271"/>
      <c r="CS1" s="270" t="s">
        <v>372</v>
      </c>
      <c r="CT1" s="271"/>
      <c r="CU1" s="270" t="s">
        <v>372</v>
      </c>
      <c r="CV1" s="271"/>
      <c r="CW1" s="270" t="s">
        <v>372</v>
      </c>
      <c r="CX1" s="271"/>
      <c r="CY1" s="270" t="s">
        <v>372</v>
      </c>
      <c r="CZ1" s="271"/>
      <c r="DA1" s="270" t="s">
        <v>372</v>
      </c>
      <c r="DB1" s="271"/>
      <c r="DC1" s="270" t="s">
        <v>372</v>
      </c>
      <c r="DD1" s="271"/>
      <c r="DE1" s="270" t="s">
        <v>372</v>
      </c>
      <c r="DF1" s="271"/>
      <c r="DG1" s="270" t="s">
        <v>372</v>
      </c>
      <c r="DH1" s="271"/>
      <c r="DI1" s="270" t="s">
        <v>372</v>
      </c>
      <c r="DJ1" s="271"/>
      <c r="DK1" s="270" t="s">
        <v>372</v>
      </c>
      <c r="DL1" s="271"/>
    </row>
    <row r="2" spans="1:116" ht="15.6" customHeight="1" x14ac:dyDescent="0.3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23" t="s">
        <v>10</v>
      </c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1"/>
      <c r="AC2" s="260"/>
      <c r="AD2" s="261"/>
      <c r="AE2" s="260"/>
      <c r="AF2" s="261"/>
      <c r="AG2" s="260"/>
      <c r="AH2" s="261"/>
      <c r="AI2" s="260"/>
      <c r="AJ2" s="261"/>
      <c r="AK2" s="260"/>
      <c r="AL2" s="261"/>
      <c r="AM2" s="260"/>
      <c r="AN2" s="261"/>
      <c r="AO2" s="260"/>
      <c r="AP2" s="261"/>
      <c r="AQ2" s="260"/>
      <c r="AR2" s="261"/>
      <c r="AS2" s="260"/>
      <c r="AT2" s="261"/>
      <c r="AU2" s="260"/>
      <c r="AV2" s="261"/>
      <c r="AW2" s="260"/>
      <c r="AX2" s="261"/>
      <c r="AY2" s="264"/>
      <c r="AZ2" s="265"/>
      <c r="BA2" s="9"/>
      <c r="BB2" s="269"/>
      <c r="BC2" s="269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269"/>
      <c r="BV2" s="269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6"/>
      <c r="CQ2" s="272"/>
      <c r="CR2" s="273"/>
      <c r="CS2" s="272"/>
      <c r="CT2" s="273"/>
      <c r="CU2" s="272"/>
      <c r="CV2" s="273"/>
      <c r="CW2" s="272"/>
      <c r="CX2" s="273"/>
      <c r="CY2" s="272"/>
      <c r="CZ2" s="273"/>
      <c r="DA2" s="272"/>
      <c r="DB2" s="273"/>
      <c r="DC2" s="272"/>
      <c r="DD2" s="273"/>
      <c r="DE2" s="272"/>
      <c r="DF2" s="273"/>
      <c r="DG2" s="272"/>
      <c r="DH2" s="273"/>
      <c r="DI2" s="272"/>
      <c r="DJ2" s="273"/>
      <c r="DK2" s="272"/>
      <c r="DL2" s="273"/>
    </row>
    <row r="3" spans="1:116" ht="43.5" customHeight="1" x14ac:dyDescent="0.3">
      <c r="A3" s="207"/>
      <c r="B3" s="207"/>
      <c r="C3" s="209"/>
      <c r="D3" s="207"/>
      <c r="E3" s="211"/>
      <c r="F3" s="224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C3" s="161" t="s">
        <v>36</v>
      </c>
      <c r="AD3" s="161" t="s">
        <v>369</v>
      </c>
      <c r="AE3" s="161" t="s">
        <v>36</v>
      </c>
      <c r="AF3" s="161" t="s">
        <v>369</v>
      </c>
      <c r="AG3" s="161" t="s">
        <v>36</v>
      </c>
      <c r="AH3" s="161" t="s">
        <v>369</v>
      </c>
      <c r="AI3" s="161" t="s">
        <v>36</v>
      </c>
      <c r="AJ3" s="161" t="s">
        <v>369</v>
      </c>
      <c r="AK3" s="161" t="s">
        <v>36</v>
      </c>
      <c r="AL3" s="161" t="s">
        <v>369</v>
      </c>
      <c r="AM3" s="161" t="s">
        <v>36</v>
      </c>
      <c r="AN3" s="161" t="s">
        <v>369</v>
      </c>
      <c r="AO3" s="161" t="s">
        <v>36</v>
      </c>
      <c r="AP3" s="161" t="s">
        <v>369</v>
      </c>
      <c r="AQ3" s="161" t="s">
        <v>36</v>
      </c>
      <c r="AR3" s="161" t="s">
        <v>369</v>
      </c>
      <c r="AS3" s="161" t="s">
        <v>36</v>
      </c>
      <c r="AT3" s="161" t="s">
        <v>369</v>
      </c>
      <c r="AU3" s="161" t="s">
        <v>36</v>
      </c>
      <c r="AV3" s="161" t="s">
        <v>369</v>
      </c>
      <c r="AW3" s="161" t="s">
        <v>36</v>
      </c>
      <c r="AX3" s="161" t="s">
        <v>369</v>
      </c>
      <c r="AY3" s="162" t="s">
        <v>36</v>
      </c>
      <c r="AZ3" s="162" t="s">
        <v>369</v>
      </c>
      <c r="BA3" s="20" t="s">
        <v>16</v>
      </c>
      <c r="BB3" s="161" t="s">
        <v>36</v>
      </c>
      <c r="BC3" s="161" t="s">
        <v>369</v>
      </c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1" t="s">
        <v>36</v>
      </c>
      <c r="BV3" s="161" t="s">
        <v>369</v>
      </c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4"/>
      <c r="CQ3" s="162" t="s">
        <v>36</v>
      </c>
      <c r="CR3" s="162" t="s">
        <v>369</v>
      </c>
      <c r="CS3" s="162" t="s">
        <v>36</v>
      </c>
      <c r="CT3" s="162" t="s">
        <v>369</v>
      </c>
      <c r="CU3" s="162" t="s">
        <v>36</v>
      </c>
      <c r="CV3" s="162" t="s">
        <v>369</v>
      </c>
      <c r="CW3" s="162" t="s">
        <v>36</v>
      </c>
      <c r="CX3" s="162" t="s">
        <v>369</v>
      </c>
      <c r="CY3" s="162" t="s">
        <v>36</v>
      </c>
      <c r="CZ3" s="162" t="s">
        <v>369</v>
      </c>
      <c r="DA3" s="162" t="s">
        <v>36</v>
      </c>
      <c r="DB3" s="162" t="s">
        <v>369</v>
      </c>
      <c r="DC3" s="162" t="s">
        <v>36</v>
      </c>
      <c r="DD3" s="162" t="s">
        <v>369</v>
      </c>
      <c r="DE3" s="162" t="s">
        <v>36</v>
      </c>
      <c r="DF3" s="162" t="s">
        <v>369</v>
      </c>
      <c r="DG3" s="162" t="s">
        <v>36</v>
      </c>
      <c r="DH3" s="162" t="s">
        <v>369</v>
      </c>
      <c r="DI3" s="162" t="s">
        <v>36</v>
      </c>
      <c r="DJ3" s="162" t="s">
        <v>369</v>
      </c>
      <c r="DK3" s="162" t="s">
        <v>36</v>
      </c>
      <c r="DL3" s="162" t="s">
        <v>369</v>
      </c>
    </row>
    <row r="4" spans="1:116" ht="37.5" customHeight="1" x14ac:dyDescent="0.25">
      <c r="A4" s="22" t="s">
        <v>39</v>
      </c>
      <c r="B4" s="212" t="s">
        <v>40</v>
      </c>
      <c r="C4" s="23" t="s">
        <v>41</v>
      </c>
      <c r="D4" s="24" t="s">
        <v>42</v>
      </c>
      <c r="E4" s="25">
        <v>510</v>
      </c>
      <c r="F4" s="26" t="s">
        <v>43</v>
      </c>
      <c r="G4" s="27">
        <f t="shared" ref="G4:G19" si="0">SUM(H4:AA4)</f>
        <v>25000000</v>
      </c>
      <c r="H4" s="27"/>
      <c r="I4" s="27"/>
      <c r="J4" s="27"/>
      <c r="K4" s="27"/>
      <c r="L4" s="27">
        <v>25000000</v>
      </c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8"/>
      <c r="AC4" s="29">
        <f t="shared" ref="AC4:AC67" si="1">+AD4/G4</f>
        <v>1</v>
      </c>
      <c r="AD4" s="27">
        <f t="shared" ref="AD4:AD19" si="2">SUM(AE4:AX4)</f>
        <v>25000000</v>
      </c>
      <c r="AE4" s="30"/>
      <c r="AF4" s="31"/>
      <c r="AG4" s="31"/>
      <c r="AH4" s="31"/>
      <c r="AI4" s="27">
        <v>25000000</v>
      </c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29">
        <f t="shared" ref="AY4:AY67" si="3">1-AC4</f>
        <v>0</v>
      </c>
      <c r="AZ4" s="27">
        <f t="shared" ref="AZ4:AZ19" si="4">SUM(BA4:BT4)</f>
        <v>0</v>
      </c>
      <c r="BA4" s="27">
        <f t="shared" ref="BA4:BP19" si="5">+H4</f>
        <v>0</v>
      </c>
      <c r="BB4" s="27">
        <f t="shared" si="5"/>
        <v>0</v>
      </c>
      <c r="BC4" s="27">
        <f t="shared" ref="BC4:BD16" si="6">J4-AG4</f>
        <v>0</v>
      </c>
      <c r="BD4" s="27">
        <f t="shared" si="6"/>
        <v>0</v>
      </c>
      <c r="BE4" s="27">
        <f t="shared" ref="BE4:BP19" si="7">+L4-AI4</f>
        <v>0</v>
      </c>
      <c r="BF4" s="27">
        <f t="shared" si="7"/>
        <v>0</v>
      </c>
      <c r="BG4" s="27">
        <f t="shared" si="7"/>
        <v>0</v>
      </c>
      <c r="BH4" s="27">
        <f t="shared" si="7"/>
        <v>0</v>
      </c>
      <c r="BI4" s="27">
        <f t="shared" si="7"/>
        <v>0</v>
      </c>
      <c r="BJ4" s="27">
        <f t="shared" si="7"/>
        <v>0</v>
      </c>
      <c r="BK4" s="27">
        <f t="shared" si="7"/>
        <v>0</v>
      </c>
      <c r="BL4" s="27">
        <f t="shared" si="7"/>
        <v>0</v>
      </c>
      <c r="BM4" s="27">
        <f t="shared" si="7"/>
        <v>0</v>
      </c>
      <c r="BN4" s="27">
        <f t="shared" si="7"/>
        <v>0</v>
      </c>
      <c r="BO4" s="27">
        <f t="shared" si="7"/>
        <v>0</v>
      </c>
      <c r="BP4" s="27">
        <f t="shared" si="7"/>
        <v>0</v>
      </c>
      <c r="BQ4" s="27"/>
      <c r="BR4" s="27">
        <f>+Y4-AV4</f>
        <v>0</v>
      </c>
      <c r="BS4" s="27">
        <f t="shared" ref="BS4:BS16" si="8">Z4-AW4</f>
        <v>0</v>
      </c>
      <c r="BT4" s="27">
        <f t="shared" ref="BT4:BT16" si="9">+AA4-AX4</f>
        <v>0</v>
      </c>
      <c r="BU4" s="29">
        <f t="shared" ref="BU4:BU67" si="10">+BV4/G4</f>
        <v>0.79162392000000004</v>
      </c>
      <c r="BV4" s="27">
        <f t="shared" ref="BV4:BV19" si="11">SUM(BW4:CP4)</f>
        <v>19790598</v>
      </c>
      <c r="BW4" s="27"/>
      <c r="BX4" s="27"/>
      <c r="BY4" s="27"/>
      <c r="BZ4" s="27"/>
      <c r="CA4" s="27">
        <f>+'[1]JUNIO 2016'!$H$1467</f>
        <v>19790598</v>
      </c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9">
        <f t="shared" ref="CQ4:CQ57" si="12">1-BU4</f>
        <v>0.20837607999999996</v>
      </c>
      <c r="CR4" s="27">
        <f t="shared" ref="CR4:CR19" si="13">SUM(CS4:DL4)</f>
        <v>5209402</v>
      </c>
      <c r="CS4" s="27">
        <f t="shared" ref="CS4:CY19" si="14">H4-BW4</f>
        <v>0</v>
      </c>
      <c r="CT4" s="27">
        <f t="shared" si="14"/>
        <v>0</v>
      </c>
      <c r="CU4" s="27">
        <f t="shared" si="14"/>
        <v>0</v>
      </c>
      <c r="CV4" s="27">
        <f t="shared" si="14"/>
        <v>0</v>
      </c>
      <c r="CW4" s="27">
        <f t="shared" si="14"/>
        <v>5209402</v>
      </c>
      <c r="CX4" s="27">
        <f t="shared" si="14"/>
        <v>0</v>
      </c>
      <c r="CY4" s="27">
        <f t="shared" si="14"/>
        <v>0</v>
      </c>
      <c r="CZ4" s="27">
        <f t="shared" ref="CZ4:DB16" si="15">+O4-CD4</f>
        <v>0</v>
      </c>
      <c r="DA4" s="27">
        <f t="shared" si="15"/>
        <v>0</v>
      </c>
      <c r="DB4" s="27">
        <f t="shared" si="15"/>
        <v>0</v>
      </c>
      <c r="DC4" s="27">
        <f t="shared" ref="DC4:DE19" si="16">R4-CG4</f>
        <v>0</v>
      </c>
      <c r="DD4" s="27">
        <f t="shared" si="16"/>
        <v>0</v>
      </c>
      <c r="DE4" s="27">
        <f t="shared" si="16"/>
        <v>0</v>
      </c>
      <c r="DF4" s="27">
        <f t="shared" ref="DF4:DH16" si="17">+U4-CJ4</f>
        <v>0</v>
      </c>
      <c r="DG4" s="27">
        <f t="shared" si="17"/>
        <v>0</v>
      </c>
      <c r="DH4" s="27">
        <f t="shared" si="17"/>
        <v>0</v>
      </c>
      <c r="DI4" s="27"/>
      <c r="DJ4" s="27">
        <f t="shared" ref="DJ4:DL16" si="18">+Y4-CN4</f>
        <v>0</v>
      </c>
      <c r="DK4" s="27">
        <f t="shared" si="18"/>
        <v>0</v>
      </c>
      <c r="DL4" s="27">
        <f t="shared" si="18"/>
        <v>0</v>
      </c>
    </row>
    <row r="5" spans="1:116" ht="39.75" customHeight="1" x14ac:dyDescent="0.25">
      <c r="A5" s="34"/>
      <c r="B5" s="225"/>
      <c r="C5" s="23" t="s">
        <v>44</v>
      </c>
      <c r="D5" s="24" t="s">
        <v>45</v>
      </c>
      <c r="E5" s="25">
        <v>510</v>
      </c>
      <c r="F5" s="26" t="s">
        <v>43</v>
      </c>
      <c r="G5" s="27">
        <f t="shared" si="0"/>
        <v>59800000</v>
      </c>
      <c r="H5" s="27"/>
      <c r="I5" s="27"/>
      <c r="J5" s="27">
        <v>18000000</v>
      </c>
      <c r="K5" s="27"/>
      <c r="L5" s="27">
        <v>36000000</v>
      </c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>
        <f>5000000+1800000-1000000</f>
        <v>5800000</v>
      </c>
      <c r="AB5" s="35"/>
      <c r="AC5" s="29">
        <f t="shared" si="1"/>
        <v>0.63228548494983272</v>
      </c>
      <c r="AD5" s="27">
        <f t="shared" si="2"/>
        <v>37810672</v>
      </c>
      <c r="AE5" s="27"/>
      <c r="AF5" s="27"/>
      <c r="AG5" s="27"/>
      <c r="AH5" s="27"/>
      <c r="AI5" s="27">
        <f>+'[2]MARZO 2016 ULTIMO'!$O$867</f>
        <v>36000000</v>
      </c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>
        <f>+'[3]MAYO 2016'!$AG$1285</f>
        <v>1810672</v>
      </c>
      <c r="AY5" s="29">
        <f t="shared" si="3"/>
        <v>0.36771451505016728</v>
      </c>
      <c r="AZ5" s="27">
        <f t="shared" si="4"/>
        <v>21989328</v>
      </c>
      <c r="BA5" s="27">
        <f t="shared" si="5"/>
        <v>0</v>
      </c>
      <c r="BB5" s="27">
        <f t="shared" si="5"/>
        <v>0</v>
      </c>
      <c r="BC5" s="27">
        <f t="shared" si="6"/>
        <v>18000000</v>
      </c>
      <c r="BD5" s="27">
        <f t="shared" si="6"/>
        <v>0</v>
      </c>
      <c r="BE5" s="27">
        <f t="shared" si="7"/>
        <v>0</v>
      </c>
      <c r="BF5" s="27">
        <f t="shared" si="7"/>
        <v>0</v>
      </c>
      <c r="BG5" s="27">
        <f t="shared" si="7"/>
        <v>0</v>
      </c>
      <c r="BH5" s="27">
        <f t="shared" si="7"/>
        <v>0</v>
      </c>
      <c r="BI5" s="27">
        <f t="shared" si="7"/>
        <v>0</v>
      </c>
      <c r="BJ5" s="27">
        <f t="shared" si="7"/>
        <v>0</v>
      </c>
      <c r="BK5" s="27">
        <f t="shared" si="7"/>
        <v>0</v>
      </c>
      <c r="BL5" s="27">
        <f t="shared" si="7"/>
        <v>0</v>
      </c>
      <c r="BM5" s="27">
        <f t="shared" si="7"/>
        <v>0</v>
      </c>
      <c r="BN5" s="27">
        <f t="shared" si="7"/>
        <v>0</v>
      </c>
      <c r="BO5" s="27">
        <f t="shared" si="7"/>
        <v>0</v>
      </c>
      <c r="BP5" s="27">
        <f t="shared" si="7"/>
        <v>0</v>
      </c>
      <c r="BQ5" s="27"/>
      <c r="BR5" s="27"/>
      <c r="BS5" s="27">
        <f t="shared" si="8"/>
        <v>0</v>
      </c>
      <c r="BT5" s="27">
        <f t="shared" si="9"/>
        <v>3989328</v>
      </c>
      <c r="BU5" s="29">
        <f t="shared" si="10"/>
        <v>0.63225928093645489</v>
      </c>
      <c r="BV5" s="27">
        <f t="shared" si="11"/>
        <v>37809105</v>
      </c>
      <c r="BW5" s="27"/>
      <c r="BX5" s="27"/>
      <c r="BY5" s="27"/>
      <c r="BZ5" s="27"/>
      <c r="CA5" s="27">
        <f>+'[1]JUNIO 2016'!$H$1488+'[1]JUNIO 2016'!$H$1494</f>
        <v>35999998</v>
      </c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>
        <f>+'[3]MAYO 2016'!$H$1288+'[3]MAYO 2016'!$H$1290+'[3]MAYO 2016'!$H$1294</f>
        <v>1809107</v>
      </c>
      <c r="CQ5" s="29">
        <f t="shared" si="12"/>
        <v>0.36774071906354511</v>
      </c>
      <c r="CR5" s="27">
        <f t="shared" si="13"/>
        <v>21990895</v>
      </c>
      <c r="CS5" s="27">
        <f t="shared" si="14"/>
        <v>0</v>
      </c>
      <c r="CT5" s="27">
        <f t="shared" si="14"/>
        <v>0</v>
      </c>
      <c r="CU5" s="27">
        <f t="shared" si="14"/>
        <v>18000000</v>
      </c>
      <c r="CV5" s="27">
        <f t="shared" si="14"/>
        <v>0</v>
      </c>
      <c r="CW5" s="27">
        <f t="shared" si="14"/>
        <v>2</v>
      </c>
      <c r="CX5" s="27">
        <f t="shared" si="14"/>
        <v>0</v>
      </c>
      <c r="CY5" s="27">
        <f t="shared" si="14"/>
        <v>0</v>
      </c>
      <c r="CZ5" s="27">
        <f t="shared" si="15"/>
        <v>0</v>
      </c>
      <c r="DA5" s="27">
        <f t="shared" si="15"/>
        <v>0</v>
      </c>
      <c r="DB5" s="27">
        <f t="shared" si="15"/>
        <v>0</v>
      </c>
      <c r="DC5" s="27">
        <f t="shared" si="16"/>
        <v>0</v>
      </c>
      <c r="DD5" s="27">
        <f t="shared" si="16"/>
        <v>0</v>
      </c>
      <c r="DE5" s="27">
        <f t="shared" si="16"/>
        <v>0</v>
      </c>
      <c r="DF5" s="27">
        <f t="shared" si="17"/>
        <v>0</v>
      </c>
      <c r="DG5" s="27">
        <f t="shared" si="17"/>
        <v>0</v>
      </c>
      <c r="DH5" s="27">
        <f t="shared" si="17"/>
        <v>0</v>
      </c>
      <c r="DI5" s="27"/>
      <c r="DJ5" s="27">
        <f t="shared" si="18"/>
        <v>0</v>
      </c>
      <c r="DK5" s="27">
        <f t="shared" si="18"/>
        <v>0</v>
      </c>
      <c r="DL5" s="27">
        <f t="shared" si="18"/>
        <v>3990893</v>
      </c>
    </row>
    <row r="6" spans="1:116" ht="30.75" customHeight="1" x14ac:dyDescent="0.25">
      <c r="A6" s="34"/>
      <c r="B6" s="213"/>
      <c r="C6" s="23" t="s">
        <v>46</v>
      </c>
      <c r="D6" s="24" t="s">
        <v>47</v>
      </c>
      <c r="E6" s="36">
        <v>510</v>
      </c>
      <c r="F6" s="26" t="s">
        <v>43</v>
      </c>
      <c r="G6" s="27">
        <f t="shared" si="0"/>
        <v>21000000</v>
      </c>
      <c r="H6" s="27"/>
      <c r="I6" s="27"/>
      <c r="J6" s="27">
        <v>11000000</v>
      </c>
      <c r="K6" s="27"/>
      <c r="L6" s="27">
        <v>10000000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35"/>
      <c r="AC6" s="29">
        <f t="shared" si="1"/>
        <v>0.47619047619047616</v>
      </c>
      <c r="AD6" s="27">
        <f t="shared" si="2"/>
        <v>10000000</v>
      </c>
      <c r="AE6" s="27"/>
      <c r="AF6" s="27"/>
      <c r="AG6" s="27"/>
      <c r="AH6" s="27"/>
      <c r="AI6" s="27">
        <f>+'[2]MARZO 2016 ULTIMO'!$O$878</f>
        <v>10000000</v>
      </c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9">
        <f t="shared" si="3"/>
        <v>0.52380952380952384</v>
      </c>
      <c r="AZ6" s="27">
        <f t="shared" si="4"/>
        <v>11000000</v>
      </c>
      <c r="BA6" s="27">
        <f t="shared" si="5"/>
        <v>0</v>
      </c>
      <c r="BB6" s="27">
        <f t="shared" si="5"/>
        <v>0</v>
      </c>
      <c r="BC6" s="27">
        <f t="shared" si="6"/>
        <v>11000000</v>
      </c>
      <c r="BD6" s="27">
        <f t="shared" si="6"/>
        <v>0</v>
      </c>
      <c r="BE6" s="27">
        <f t="shared" si="7"/>
        <v>0</v>
      </c>
      <c r="BF6" s="27">
        <f t="shared" si="7"/>
        <v>0</v>
      </c>
      <c r="BG6" s="27">
        <f t="shared" si="7"/>
        <v>0</v>
      </c>
      <c r="BH6" s="27">
        <f t="shared" si="7"/>
        <v>0</v>
      </c>
      <c r="BI6" s="27">
        <f t="shared" si="7"/>
        <v>0</v>
      </c>
      <c r="BJ6" s="27">
        <f t="shared" si="7"/>
        <v>0</v>
      </c>
      <c r="BK6" s="27">
        <f t="shared" si="7"/>
        <v>0</v>
      </c>
      <c r="BL6" s="27">
        <f t="shared" si="7"/>
        <v>0</v>
      </c>
      <c r="BM6" s="27">
        <f t="shared" si="7"/>
        <v>0</v>
      </c>
      <c r="BN6" s="27">
        <f t="shared" si="7"/>
        <v>0</v>
      </c>
      <c r="BO6" s="27">
        <f t="shared" si="7"/>
        <v>0</v>
      </c>
      <c r="BP6" s="27">
        <f t="shared" si="7"/>
        <v>0</v>
      </c>
      <c r="BQ6" s="27"/>
      <c r="BR6" s="27"/>
      <c r="BS6" s="27">
        <f t="shared" si="8"/>
        <v>0</v>
      </c>
      <c r="BT6" s="27">
        <f t="shared" si="9"/>
        <v>0</v>
      </c>
      <c r="BU6" s="29">
        <f t="shared" si="10"/>
        <v>0.47619047619047616</v>
      </c>
      <c r="BV6" s="27">
        <f t="shared" si="11"/>
        <v>10000000</v>
      </c>
      <c r="BW6" s="27"/>
      <c r="BX6" s="27"/>
      <c r="BY6" s="27"/>
      <c r="BZ6" s="27"/>
      <c r="CA6" s="27">
        <f>+'[4]ABRIL 2016'!$O$1124</f>
        <v>10000000</v>
      </c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9">
        <f t="shared" si="12"/>
        <v>0.52380952380952384</v>
      </c>
      <c r="CR6" s="27">
        <f t="shared" si="13"/>
        <v>11000000</v>
      </c>
      <c r="CS6" s="27">
        <f t="shared" si="14"/>
        <v>0</v>
      </c>
      <c r="CT6" s="27">
        <f t="shared" si="14"/>
        <v>0</v>
      </c>
      <c r="CU6" s="27">
        <f t="shared" si="14"/>
        <v>11000000</v>
      </c>
      <c r="CV6" s="27">
        <f t="shared" si="14"/>
        <v>0</v>
      </c>
      <c r="CW6" s="27">
        <f t="shared" si="14"/>
        <v>0</v>
      </c>
      <c r="CX6" s="27">
        <f t="shared" si="14"/>
        <v>0</v>
      </c>
      <c r="CY6" s="27">
        <f t="shared" si="14"/>
        <v>0</v>
      </c>
      <c r="CZ6" s="27">
        <f t="shared" si="15"/>
        <v>0</v>
      </c>
      <c r="DA6" s="27">
        <f t="shared" si="15"/>
        <v>0</v>
      </c>
      <c r="DB6" s="27">
        <f t="shared" si="15"/>
        <v>0</v>
      </c>
      <c r="DC6" s="27">
        <f t="shared" si="16"/>
        <v>0</v>
      </c>
      <c r="DD6" s="27">
        <f t="shared" si="16"/>
        <v>0</v>
      </c>
      <c r="DE6" s="27">
        <f t="shared" si="16"/>
        <v>0</v>
      </c>
      <c r="DF6" s="27">
        <f t="shared" si="17"/>
        <v>0</v>
      </c>
      <c r="DG6" s="27">
        <f t="shared" si="17"/>
        <v>0</v>
      </c>
      <c r="DH6" s="27">
        <f t="shared" si="17"/>
        <v>0</v>
      </c>
      <c r="DI6" s="27"/>
      <c r="DJ6" s="27">
        <f t="shared" si="18"/>
        <v>0</v>
      </c>
      <c r="DK6" s="27">
        <f t="shared" si="18"/>
        <v>0</v>
      </c>
      <c r="DL6" s="27">
        <f t="shared" si="18"/>
        <v>0</v>
      </c>
    </row>
    <row r="7" spans="1:116" ht="53.25" customHeight="1" x14ac:dyDescent="0.25">
      <c r="A7" s="34"/>
      <c r="B7" s="37" t="s">
        <v>48</v>
      </c>
      <c r="C7" s="23" t="s">
        <v>49</v>
      </c>
      <c r="D7" s="24" t="s">
        <v>50</v>
      </c>
      <c r="E7" s="25">
        <v>510</v>
      </c>
      <c r="F7" s="26" t="s">
        <v>51</v>
      </c>
      <c r="G7" s="27">
        <f t="shared" si="0"/>
        <v>33576315</v>
      </c>
      <c r="H7" s="27"/>
      <c r="I7" s="27"/>
      <c r="J7" s="27">
        <f>21000000-21000000</f>
        <v>0</v>
      </c>
      <c r="K7" s="27"/>
      <c r="L7" s="27">
        <f>21000000</f>
        <v>21000000</v>
      </c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>
        <v>12576315</v>
      </c>
      <c r="AC7" s="29">
        <f t="shared" si="1"/>
        <v>5.5882100224518387E-2</v>
      </c>
      <c r="AD7" s="27">
        <f t="shared" si="2"/>
        <v>1876315</v>
      </c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>
        <f>+'[5]ENERO 2016'!$AD$520</f>
        <v>1876315</v>
      </c>
      <c r="AY7" s="29">
        <f t="shared" si="3"/>
        <v>0.94411789977548166</v>
      </c>
      <c r="AZ7" s="27">
        <f t="shared" si="4"/>
        <v>31700000</v>
      </c>
      <c r="BA7" s="27">
        <f t="shared" si="5"/>
        <v>0</v>
      </c>
      <c r="BB7" s="27">
        <f t="shared" si="5"/>
        <v>0</v>
      </c>
      <c r="BC7" s="27">
        <f t="shared" si="6"/>
        <v>0</v>
      </c>
      <c r="BD7" s="27">
        <f t="shared" si="6"/>
        <v>0</v>
      </c>
      <c r="BE7" s="27">
        <f t="shared" si="7"/>
        <v>21000000</v>
      </c>
      <c r="BF7" s="27">
        <f t="shared" si="7"/>
        <v>0</v>
      </c>
      <c r="BG7" s="27">
        <f t="shared" si="7"/>
        <v>0</v>
      </c>
      <c r="BH7" s="27">
        <f t="shared" si="7"/>
        <v>0</v>
      </c>
      <c r="BI7" s="27">
        <f t="shared" si="7"/>
        <v>0</v>
      </c>
      <c r="BJ7" s="27">
        <f t="shared" si="7"/>
        <v>0</v>
      </c>
      <c r="BK7" s="27">
        <f t="shared" si="7"/>
        <v>0</v>
      </c>
      <c r="BL7" s="27">
        <f t="shared" si="7"/>
        <v>0</v>
      </c>
      <c r="BM7" s="27">
        <f t="shared" si="7"/>
        <v>0</v>
      </c>
      <c r="BN7" s="27">
        <f t="shared" si="7"/>
        <v>0</v>
      </c>
      <c r="BO7" s="27">
        <f t="shared" si="7"/>
        <v>0</v>
      </c>
      <c r="BP7" s="27">
        <f t="shared" si="7"/>
        <v>0</v>
      </c>
      <c r="BQ7" s="27"/>
      <c r="BR7" s="27"/>
      <c r="BS7" s="27">
        <f t="shared" si="8"/>
        <v>0</v>
      </c>
      <c r="BT7" s="27">
        <f t="shared" si="9"/>
        <v>10700000</v>
      </c>
      <c r="BU7" s="29">
        <f t="shared" si="10"/>
        <v>2.3497754294954643E-2</v>
      </c>
      <c r="BV7" s="27">
        <f t="shared" si="11"/>
        <v>788968</v>
      </c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>
        <v>788968</v>
      </c>
      <c r="CQ7" s="29">
        <f t="shared" si="12"/>
        <v>0.9765022457050454</v>
      </c>
      <c r="CR7" s="27">
        <f t="shared" si="13"/>
        <v>32787347</v>
      </c>
      <c r="CS7" s="27">
        <f t="shared" si="14"/>
        <v>0</v>
      </c>
      <c r="CT7" s="27">
        <f t="shared" si="14"/>
        <v>0</v>
      </c>
      <c r="CU7" s="27">
        <f t="shared" si="14"/>
        <v>0</v>
      </c>
      <c r="CV7" s="27">
        <f t="shared" si="14"/>
        <v>0</v>
      </c>
      <c r="CW7" s="27">
        <f t="shared" si="14"/>
        <v>21000000</v>
      </c>
      <c r="CX7" s="27">
        <f t="shared" si="14"/>
        <v>0</v>
      </c>
      <c r="CY7" s="27">
        <f t="shared" si="14"/>
        <v>0</v>
      </c>
      <c r="CZ7" s="27">
        <f t="shared" si="15"/>
        <v>0</v>
      </c>
      <c r="DA7" s="27">
        <f t="shared" si="15"/>
        <v>0</v>
      </c>
      <c r="DB7" s="27">
        <f t="shared" si="15"/>
        <v>0</v>
      </c>
      <c r="DC7" s="27">
        <f t="shared" si="16"/>
        <v>0</v>
      </c>
      <c r="DD7" s="27">
        <f t="shared" si="16"/>
        <v>0</v>
      </c>
      <c r="DE7" s="27">
        <f t="shared" si="16"/>
        <v>0</v>
      </c>
      <c r="DF7" s="27">
        <f t="shared" si="17"/>
        <v>0</v>
      </c>
      <c r="DG7" s="27">
        <f t="shared" si="17"/>
        <v>0</v>
      </c>
      <c r="DH7" s="27">
        <f t="shared" si="17"/>
        <v>0</v>
      </c>
      <c r="DI7" s="27"/>
      <c r="DJ7" s="27">
        <f t="shared" si="18"/>
        <v>0</v>
      </c>
      <c r="DK7" s="27">
        <f t="shared" si="18"/>
        <v>0</v>
      </c>
      <c r="DL7" s="27">
        <f t="shared" si="18"/>
        <v>11787347</v>
      </c>
    </row>
    <row r="8" spans="1:116" ht="54.75" customHeight="1" x14ac:dyDescent="0.25">
      <c r="A8" s="34"/>
      <c r="B8" s="212" t="s">
        <v>52</v>
      </c>
      <c r="C8" s="23" t="s">
        <v>53</v>
      </c>
      <c r="D8" s="24" t="s">
        <v>54</v>
      </c>
      <c r="E8" s="25">
        <v>310</v>
      </c>
      <c r="F8" s="26" t="s">
        <v>43</v>
      </c>
      <c r="G8" s="27">
        <f t="shared" si="0"/>
        <v>200000000</v>
      </c>
      <c r="H8" s="27"/>
      <c r="I8" s="27"/>
      <c r="J8" s="27">
        <f>200000000-193378600</f>
        <v>6621400</v>
      </c>
      <c r="K8" s="27"/>
      <c r="L8" s="27">
        <f>193378600</f>
        <v>193378600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C8" s="29">
        <f t="shared" si="1"/>
        <v>0.99987499999999996</v>
      </c>
      <c r="AD8" s="27">
        <f t="shared" si="2"/>
        <v>199975000</v>
      </c>
      <c r="AE8" s="27"/>
      <c r="AF8" s="27"/>
      <c r="AG8" s="27">
        <f>+'[5]ENERO 2016'!$M$109</f>
        <v>6621400</v>
      </c>
      <c r="AH8" s="27"/>
      <c r="AI8" s="27">
        <f>+'[6]FEBRERO 2016'!$O$125</f>
        <v>193353600</v>
      </c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9">
        <f t="shared" si="3"/>
        <v>1.2500000000004174E-4</v>
      </c>
      <c r="AZ8" s="27">
        <f t="shared" si="4"/>
        <v>25000</v>
      </c>
      <c r="BA8" s="27">
        <f t="shared" si="5"/>
        <v>0</v>
      </c>
      <c r="BB8" s="27">
        <f t="shared" si="5"/>
        <v>0</v>
      </c>
      <c r="BC8" s="27">
        <f t="shared" si="6"/>
        <v>0</v>
      </c>
      <c r="BD8" s="27">
        <f t="shared" si="6"/>
        <v>0</v>
      </c>
      <c r="BE8" s="27">
        <f t="shared" si="7"/>
        <v>25000</v>
      </c>
      <c r="BF8" s="27">
        <f t="shared" si="7"/>
        <v>0</v>
      </c>
      <c r="BG8" s="27">
        <f t="shared" si="7"/>
        <v>0</v>
      </c>
      <c r="BH8" s="27">
        <f t="shared" si="7"/>
        <v>0</v>
      </c>
      <c r="BI8" s="27">
        <f t="shared" si="7"/>
        <v>0</v>
      </c>
      <c r="BJ8" s="27">
        <f t="shared" si="7"/>
        <v>0</v>
      </c>
      <c r="BK8" s="27">
        <f t="shared" si="7"/>
        <v>0</v>
      </c>
      <c r="BL8" s="27">
        <f t="shared" si="7"/>
        <v>0</v>
      </c>
      <c r="BM8" s="27">
        <f t="shared" si="7"/>
        <v>0</v>
      </c>
      <c r="BN8" s="27">
        <f t="shared" si="7"/>
        <v>0</v>
      </c>
      <c r="BO8" s="27">
        <f t="shared" si="7"/>
        <v>0</v>
      </c>
      <c r="BP8" s="27">
        <f t="shared" si="7"/>
        <v>0</v>
      </c>
      <c r="BQ8" s="27"/>
      <c r="BR8" s="27"/>
      <c r="BS8" s="27">
        <f t="shared" si="8"/>
        <v>0</v>
      </c>
      <c r="BT8" s="27">
        <f t="shared" si="9"/>
        <v>0</v>
      </c>
      <c r="BU8" s="29">
        <f t="shared" si="10"/>
        <v>0.56338447000000003</v>
      </c>
      <c r="BV8" s="27">
        <f t="shared" si="11"/>
        <v>112676894</v>
      </c>
      <c r="BW8" s="27"/>
      <c r="BX8" s="27"/>
      <c r="BY8" s="27">
        <f>+'[5]ENERO 2016'!$H$107</f>
        <v>6621400</v>
      </c>
      <c r="BZ8" s="27"/>
      <c r="CA8" s="27">
        <f>+'[3]MAYO 2016'!$H$206+'[3]MAYO 2016'!$H$207+'[3]MAYO 2016'!$H$209</f>
        <v>106055494</v>
      </c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9">
        <f t="shared" si="12"/>
        <v>0.43661552999999997</v>
      </c>
      <c r="CR8" s="27">
        <f t="shared" si="13"/>
        <v>87323106</v>
      </c>
      <c r="CS8" s="27">
        <f t="shared" si="14"/>
        <v>0</v>
      </c>
      <c r="CT8" s="27">
        <f t="shared" si="14"/>
        <v>0</v>
      </c>
      <c r="CU8" s="27">
        <f t="shared" si="14"/>
        <v>0</v>
      </c>
      <c r="CV8" s="27">
        <f t="shared" si="14"/>
        <v>0</v>
      </c>
      <c r="CW8" s="27">
        <f t="shared" si="14"/>
        <v>87323106</v>
      </c>
      <c r="CX8" s="27">
        <f t="shared" si="14"/>
        <v>0</v>
      </c>
      <c r="CY8" s="27">
        <f t="shared" si="14"/>
        <v>0</v>
      </c>
      <c r="CZ8" s="27">
        <f t="shared" si="15"/>
        <v>0</v>
      </c>
      <c r="DA8" s="27">
        <f t="shared" si="15"/>
        <v>0</v>
      </c>
      <c r="DB8" s="27">
        <f t="shared" si="15"/>
        <v>0</v>
      </c>
      <c r="DC8" s="27">
        <f t="shared" si="16"/>
        <v>0</v>
      </c>
      <c r="DD8" s="27">
        <f t="shared" si="16"/>
        <v>0</v>
      </c>
      <c r="DE8" s="27">
        <f t="shared" si="16"/>
        <v>0</v>
      </c>
      <c r="DF8" s="27">
        <f t="shared" si="17"/>
        <v>0</v>
      </c>
      <c r="DG8" s="27">
        <f t="shared" si="17"/>
        <v>0</v>
      </c>
      <c r="DH8" s="27">
        <f t="shared" si="17"/>
        <v>0</v>
      </c>
      <c r="DI8" s="27"/>
      <c r="DJ8" s="27">
        <f t="shared" si="18"/>
        <v>0</v>
      </c>
      <c r="DK8" s="27">
        <f t="shared" si="18"/>
        <v>0</v>
      </c>
      <c r="DL8" s="27">
        <f t="shared" si="18"/>
        <v>0</v>
      </c>
    </row>
    <row r="9" spans="1:116" ht="54.75" customHeight="1" x14ac:dyDescent="0.25">
      <c r="A9" s="34"/>
      <c r="B9" s="225"/>
      <c r="C9" s="23" t="s">
        <v>55</v>
      </c>
      <c r="D9" s="24" t="s">
        <v>56</v>
      </c>
      <c r="E9" s="25">
        <v>310</v>
      </c>
      <c r="F9" s="26" t="s">
        <v>57</v>
      </c>
      <c r="G9" s="27">
        <f t="shared" si="0"/>
        <v>532200000</v>
      </c>
      <c r="H9" s="27"/>
      <c r="I9" s="27"/>
      <c r="J9" s="27">
        <f>150000000+21000000+193378600</f>
        <v>364378600</v>
      </c>
      <c r="K9" s="27"/>
      <c r="L9" s="27">
        <f>370000000-21000000-193378600-30800000</f>
        <v>124821400</v>
      </c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>
        <f>30000000+12000000+1000000</f>
        <v>43000000</v>
      </c>
      <c r="AB9" s="38"/>
      <c r="AC9" s="29">
        <f t="shared" si="1"/>
        <v>0.23525290680195415</v>
      </c>
      <c r="AD9" s="27">
        <f t="shared" si="2"/>
        <v>125201597</v>
      </c>
      <c r="AE9" s="27"/>
      <c r="AF9" s="27"/>
      <c r="AG9" s="27">
        <f>+'[1]JUNIO 2016'!$M$264</f>
        <v>43664537</v>
      </c>
      <c r="AH9" s="27"/>
      <c r="AI9" s="27">
        <f>+'[1]JUNIO 2016'!$O$264</f>
        <v>70926559</v>
      </c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>
        <f>+'[1]JUNIO 2016'!$AG$264</f>
        <v>10610501</v>
      </c>
      <c r="AY9" s="29">
        <f t="shared" si="3"/>
        <v>0.76474709319804579</v>
      </c>
      <c r="AZ9" s="27">
        <f t="shared" si="4"/>
        <v>406998403</v>
      </c>
      <c r="BA9" s="27">
        <f t="shared" si="5"/>
        <v>0</v>
      </c>
      <c r="BB9" s="27">
        <f t="shared" si="5"/>
        <v>0</v>
      </c>
      <c r="BC9" s="27">
        <f t="shared" si="6"/>
        <v>320714063</v>
      </c>
      <c r="BD9" s="27">
        <f t="shared" si="6"/>
        <v>0</v>
      </c>
      <c r="BE9" s="27">
        <f t="shared" si="7"/>
        <v>53894841</v>
      </c>
      <c r="BF9" s="27">
        <f t="shared" si="7"/>
        <v>0</v>
      </c>
      <c r="BG9" s="27">
        <f t="shared" si="7"/>
        <v>0</v>
      </c>
      <c r="BH9" s="27">
        <f t="shared" si="7"/>
        <v>0</v>
      </c>
      <c r="BI9" s="27">
        <f t="shared" si="7"/>
        <v>0</v>
      </c>
      <c r="BJ9" s="27">
        <f t="shared" si="7"/>
        <v>0</v>
      </c>
      <c r="BK9" s="27">
        <f t="shared" si="7"/>
        <v>0</v>
      </c>
      <c r="BL9" s="27">
        <f t="shared" si="7"/>
        <v>0</v>
      </c>
      <c r="BM9" s="27">
        <f t="shared" si="7"/>
        <v>0</v>
      </c>
      <c r="BN9" s="27">
        <f t="shared" si="7"/>
        <v>0</v>
      </c>
      <c r="BO9" s="27">
        <f t="shared" si="7"/>
        <v>0</v>
      </c>
      <c r="BP9" s="27">
        <f t="shared" si="7"/>
        <v>0</v>
      </c>
      <c r="BQ9" s="27"/>
      <c r="BR9" s="27"/>
      <c r="BS9" s="27">
        <f t="shared" si="8"/>
        <v>0</v>
      </c>
      <c r="BT9" s="27">
        <f t="shared" si="9"/>
        <v>32389499</v>
      </c>
      <c r="BU9" s="29">
        <f t="shared" si="10"/>
        <v>0.23514831454340474</v>
      </c>
      <c r="BV9" s="27">
        <f t="shared" si="11"/>
        <v>125145933</v>
      </c>
      <c r="BW9" s="27"/>
      <c r="BX9" s="27"/>
      <c r="BY9" s="27">
        <f>+'[1]JUNIO 2016'!$M$264</f>
        <v>43664537</v>
      </c>
      <c r="BZ9" s="27"/>
      <c r="CA9" s="27">
        <f>+'[1]JUNIO 2016'!$O$264</f>
        <v>70926559</v>
      </c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>
        <f>+'[1]JUNIO 2016'!$H$333+'[1]JUNIO 2016'!$H$359+'[1]JUNIO 2016'!$H$363+'[1]JUNIO 2016'!$H$366+'[1]JUNIO 2016'!$H$374+'[1]JUNIO 2016'!$H$382+'[1]JUNIO 2016'!$H$384</f>
        <v>10554837</v>
      </c>
      <c r="CQ9" s="29">
        <f t="shared" si="12"/>
        <v>0.76485168545659521</v>
      </c>
      <c r="CR9" s="27">
        <f t="shared" si="13"/>
        <v>407054067</v>
      </c>
      <c r="CS9" s="27">
        <f t="shared" si="14"/>
        <v>0</v>
      </c>
      <c r="CT9" s="27">
        <f t="shared" si="14"/>
        <v>0</v>
      </c>
      <c r="CU9" s="27">
        <f t="shared" si="14"/>
        <v>320714063</v>
      </c>
      <c r="CV9" s="27">
        <f t="shared" si="14"/>
        <v>0</v>
      </c>
      <c r="CW9" s="27">
        <f t="shared" si="14"/>
        <v>53894841</v>
      </c>
      <c r="CX9" s="27">
        <f t="shared" si="14"/>
        <v>0</v>
      </c>
      <c r="CY9" s="27">
        <f t="shared" si="14"/>
        <v>0</v>
      </c>
      <c r="CZ9" s="27">
        <f t="shared" si="15"/>
        <v>0</v>
      </c>
      <c r="DA9" s="27">
        <f t="shared" si="15"/>
        <v>0</v>
      </c>
      <c r="DB9" s="27">
        <f t="shared" si="15"/>
        <v>0</v>
      </c>
      <c r="DC9" s="27">
        <f t="shared" si="16"/>
        <v>0</v>
      </c>
      <c r="DD9" s="27">
        <f t="shared" si="16"/>
        <v>0</v>
      </c>
      <c r="DE9" s="27">
        <f t="shared" si="16"/>
        <v>0</v>
      </c>
      <c r="DF9" s="27">
        <f t="shared" si="17"/>
        <v>0</v>
      </c>
      <c r="DG9" s="27">
        <f t="shared" si="17"/>
        <v>0</v>
      </c>
      <c r="DH9" s="27">
        <f t="shared" si="17"/>
        <v>0</v>
      </c>
      <c r="DI9" s="27"/>
      <c r="DJ9" s="27">
        <f t="shared" si="18"/>
        <v>0</v>
      </c>
      <c r="DK9" s="27">
        <f t="shared" si="18"/>
        <v>0</v>
      </c>
      <c r="DL9" s="27">
        <f t="shared" si="18"/>
        <v>32445163</v>
      </c>
    </row>
    <row r="10" spans="1:116" ht="30.75" customHeight="1" x14ac:dyDescent="0.25">
      <c r="A10" s="34"/>
      <c r="B10" s="225"/>
      <c r="C10" s="23" t="s">
        <v>58</v>
      </c>
      <c r="D10" s="24" t="s">
        <v>59</v>
      </c>
      <c r="E10" s="25">
        <v>310</v>
      </c>
      <c r="F10" s="26" t="s">
        <v>43</v>
      </c>
      <c r="G10" s="27">
        <f t="shared" si="0"/>
        <v>15000000</v>
      </c>
      <c r="H10" s="27"/>
      <c r="I10" s="27"/>
      <c r="J10" s="27"/>
      <c r="K10" s="27"/>
      <c r="L10" s="27">
        <v>15000000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38"/>
      <c r="AC10" s="29">
        <f t="shared" si="1"/>
        <v>1</v>
      </c>
      <c r="AD10" s="27">
        <f t="shared" si="2"/>
        <v>15000000</v>
      </c>
      <c r="AE10" s="27"/>
      <c r="AF10" s="27"/>
      <c r="AG10" s="27"/>
      <c r="AH10" s="27"/>
      <c r="AI10" s="27">
        <f>+'[1]JUNIO 2016'!$O$388</f>
        <v>15000000</v>
      </c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9">
        <f t="shared" si="3"/>
        <v>0</v>
      </c>
      <c r="AZ10" s="27">
        <f t="shared" si="4"/>
        <v>0</v>
      </c>
      <c r="BA10" s="27">
        <f t="shared" si="5"/>
        <v>0</v>
      </c>
      <c r="BB10" s="27">
        <f t="shared" ref="BB10:BB16" si="19">I10-AF10</f>
        <v>0</v>
      </c>
      <c r="BC10" s="27">
        <f t="shared" si="6"/>
        <v>0</v>
      </c>
      <c r="BD10" s="27">
        <f t="shared" si="6"/>
        <v>0</v>
      </c>
      <c r="BE10" s="27">
        <f t="shared" si="7"/>
        <v>0</v>
      </c>
      <c r="BF10" s="27">
        <f t="shared" si="7"/>
        <v>0</v>
      </c>
      <c r="BG10" s="27">
        <f t="shared" si="7"/>
        <v>0</v>
      </c>
      <c r="BH10" s="27">
        <f t="shared" si="7"/>
        <v>0</v>
      </c>
      <c r="BI10" s="27">
        <f t="shared" si="7"/>
        <v>0</v>
      </c>
      <c r="BJ10" s="27">
        <f t="shared" si="7"/>
        <v>0</v>
      </c>
      <c r="BK10" s="27">
        <f t="shared" si="7"/>
        <v>0</v>
      </c>
      <c r="BL10" s="27">
        <f t="shared" si="7"/>
        <v>0</v>
      </c>
      <c r="BM10" s="27">
        <f t="shared" si="7"/>
        <v>0</v>
      </c>
      <c r="BN10" s="27">
        <f t="shared" si="7"/>
        <v>0</v>
      </c>
      <c r="BO10" s="27">
        <f t="shared" si="7"/>
        <v>0</v>
      </c>
      <c r="BP10" s="27">
        <f t="shared" si="7"/>
        <v>0</v>
      </c>
      <c r="BQ10" s="27"/>
      <c r="BR10" s="27"/>
      <c r="BS10" s="27">
        <f t="shared" si="8"/>
        <v>0</v>
      </c>
      <c r="BT10" s="27">
        <f t="shared" si="9"/>
        <v>0</v>
      </c>
      <c r="BU10" s="29">
        <f t="shared" si="10"/>
        <v>0</v>
      </c>
      <c r="BV10" s="27">
        <f t="shared" si="11"/>
        <v>0</v>
      </c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9">
        <f t="shared" si="12"/>
        <v>1</v>
      </c>
      <c r="CR10" s="27">
        <f t="shared" si="13"/>
        <v>15000000</v>
      </c>
      <c r="CS10" s="27">
        <f t="shared" si="14"/>
        <v>0</v>
      </c>
      <c r="CT10" s="27">
        <f t="shared" si="14"/>
        <v>0</v>
      </c>
      <c r="CU10" s="27">
        <f t="shared" si="14"/>
        <v>0</v>
      </c>
      <c r="CV10" s="27">
        <f t="shared" si="14"/>
        <v>0</v>
      </c>
      <c r="CW10" s="27">
        <f t="shared" si="14"/>
        <v>15000000</v>
      </c>
      <c r="CX10" s="27">
        <f t="shared" si="14"/>
        <v>0</v>
      </c>
      <c r="CY10" s="27">
        <f t="shared" si="14"/>
        <v>0</v>
      </c>
      <c r="CZ10" s="27">
        <f t="shared" si="15"/>
        <v>0</v>
      </c>
      <c r="DA10" s="27">
        <f t="shared" si="15"/>
        <v>0</v>
      </c>
      <c r="DB10" s="27">
        <f t="shared" si="15"/>
        <v>0</v>
      </c>
      <c r="DC10" s="27">
        <f t="shared" si="16"/>
        <v>0</v>
      </c>
      <c r="DD10" s="27">
        <f t="shared" si="16"/>
        <v>0</v>
      </c>
      <c r="DE10" s="27">
        <f t="shared" si="16"/>
        <v>0</v>
      </c>
      <c r="DF10" s="27">
        <f t="shared" si="17"/>
        <v>0</v>
      </c>
      <c r="DG10" s="27">
        <f t="shared" si="17"/>
        <v>0</v>
      </c>
      <c r="DH10" s="27">
        <f t="shared" si="17"/>
        <v>0</v>
      </c>
      <c r="DI10" s="27"/>
      <c r="DJ10" s="27">
        <f t="shared" si="18"/>
        <v>0</v>
      </c>
      <c r="DK10" s="27">
        <f t="shared" si="18"/>
        <v>0</v>
      </c>
      <c r="DL10" s="27">
        <f t="shared" si="18"/>
        <v>0</v>
      </c>
    </row>
    <row r="11" spans="1:116" ht="30" x14ac:dyDescent="0.25">
      <c r="A11" s="34"/>
      <c r="B11" s="225"/>
      <c r="C11" s="23" t="s">
        <v>60</v>
      </c>
      <c r="D11" s="24" t="s">
        <v>61</v>
      </c>
      <c r="E11" s="25">
        <v>310</v>
      </c>
      <c r="F11" s="26" t="s">
        <v>43</v>
      </c>
      <c r="G11" s="27">
        <f t="shared" si="0"/>
        <v>50000000</v>
      </c>
      <c r="H11" s="27"/>
      <c r="I11" s="39"/>
      <c r="J11" s="27">
        <v>50000000</v>
      </c>
      <c r="K11" s="39"/>
      <c r="L11" s="39"/>
      <c r="M11" s="27"/>
      <c r="N11" s="39"/>
      <c r="O11" s="32"/>
      <c r="P11" s="32"/>
      <c r="Q11" s="32"/>
      <c r="R11" s="32"/>
      <c r="S11" s="32"/>
      <c r="T11" s="32"/>
      <c r="U11" s="27"/>
      <c r="V11" s="32"/>
      <c r="W11" s="32"/>
      <c r="X11" s="32"/>
      <c r="Y11" s="32"/>
      <c r="Z11" s="32"/>
      <c r="AA11" s="39"/>
      <c r="AB11" s="38"/>
      <c r="AC11" s="29">
        <f t="shared" si="1"/>
        <v>0</v>
      </c>
      <c r="AD11" s="27">
        <f t="shared" si="2"/>
        <v>0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9">
        <f t="shared" si="3"/>
        <v>1</v>
      </c>
      <c r="AZ11" s="27">
        <f t="shared" si="4"/>
        <v>50000000</v>
      </c>
      <c r="BA11" s="27">
        <f t="shared" si="5"/>
        <v>0</v>
      </c>
      <c r="BB11" s="27">
        <f t="shared" si="19"/>
        <v>0</v>
      </c>
      <c r="BC11" s="27">
        <f t="shared" si="6"/>
        <v>50000000</v>
      </c>
      <c r="BD11" s="27">
        <f t="shared" si="6"/>
        <v>0</v>
      </c>
      <c r="BE11" s="27">
        <f t="shared" si="7"/>
        <v>0</v>
      </c>
      <c r="BF11" s="27">
        <f t="shared" si="7"/>
        <v>0</v>
      </c>
      <c r="BG11" s="27">
        <f t="shared" si="7"/>
        <v>0</v>
      </c>
      <c r="BH11" s="27">
        <f t="shared" si="7"/>
        <v>0</v>
      </c>
      <c r="BI11" s="27">
        <f t="shared" si="7"/>
        <v>0</v>
      </c>
      <c r="BJ11" s="27">
        <f t="shared" si="7"/>
        <v>0</v>
      </c>
      <c r="BK11" s="27">
        <f t="shared" si="7"/>
        <v>0</v>
      </c>
      <c r="BL11" s="27">
        <f t="shared" si="7"/>
        <v>0</v>
      </c>
      <c r="BM11" s="27">
        <f t="shared" si="7"/>
        <v>0</v>
      </c>
      <c r="BN11" s="27">
        <f t="shared" si="7"/>
        <v>0</v>
      </c>
      <c r="BO11" s="27">
        <f t="shared" si="7"/>
        <v>0</v>
      </c>
      <c r="BP11" s="27">
        <f t="shared" si="7"/>
        <v>0</v>
      </c>
      <c r="BQ11" s="27"/>
      <c r="BR11" s="27"/>
      <c r="BS11" s="27">
        <f t="shared" si="8"/>
        <v>0</v>
      </c>
      <c r="BT11" s="27">
        <f t="shared" si="9"/>
        <v>0</v>
      </c>
      <c r="BU11" s="29">
        <f t="shared" si="10"/>
        <v>0</v>
      </c>
      <c r="BV11" s="27">
        <f t="shared" si="11"/>
        <v>0</v>
      </c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9">
        <f t="shared" si="12"/>
        <v>1</v>
      </c>
      <c r="CR11" s="27">
        <f t="shared" si="13"/>
        <v>50000000</v>
      </c>
      <c r="CS11" s="27">
        <f t="shared" si="14"/>
        <v>0</v>
      </c>
      <c r="CT11" s="27">
        <f t="shared" si="14"/>
        <v>0</v>
      </c>
      <c r="CU11" s="27">
        <f t="shared" si="14"/>
        <v>50000000</v>
      </c>
      <c r="CV11" s="27">
        <f t="shared" si="14"/>
        <v>0</v>
      </c>
      <c r="CW11" s="27">
        <f t="shared" si="14"/>
        <v>0</v>
      </c>
      <c r="CX11" s="27">
        <f t="shared" si="14"/>
        <v>0</v>
      </c>
      <c r="CY11" s="27">
        <f t="shared" si="14"/>
        <v>0</v>
      </c>
      <c r="CZ11" s="27">
        <f t="shared" si="15"/>
        <v>0</v>
      </c>
      <c r="DA11" s="27">
        <f t="shared" si="15"/>
        <v>0</v>
      </c>
      <c r="DB11" s="27">
        <f t="shared" si="15"/>
        <v>0</v>
      </c>
      <c r="DC11" s="27">
        <f t="shared" si="16"/>
        <v>0</v>
      </c>
      <c r="DD11" s="27">
        <f t="shared" si="16"/>
        <v>0</v>
      </c>
      <c r="DE11" s="27">
        <f t="shared" si="16"/>
        <v>0</v>
      </c>
      <c r="DF11" s="27">
        <f t="shared" si="17"/>
        <v>0</v>
      </c>
      <c r="DG11" s="27">
        <f t="shared" si="17"/>
        <v>0</v>
      </c>
      <c r="DH11" s="27">
        <f t="shared" si="17"/>
        <v>0</v>
      </c>
      <c r="DI11" s="27"/>
      <c r="DJ11" s="27">
        <f t="shared" si="18"/>
        <v>0</v>
      </c>
      <c r="DK11" s="27">
        <f t="shared" si="18"/>
        <v>0</v>
      </c>
      <c r="DL11" s="27">
        <f t="shared" si="18"/>
        <v>0</v>
      </c>
    </row>
    <row r="12" spans="1:116" ht="24.75" customHeight="1" x14ac:dyDescent="0.25">
      <c r="A12" s="34"/>
      <c r="B12" s="213"/>
      <c r="C12" s="23" t="s">
        <v>62</v>
      </c>
      <c r="D12" s="24" t="s">
        <v>63</v>
      </c>
      <c r="E12" s="25">
        <v>310</v>
      </c>
      <c r="F12" s="26" t="s">
        <v>43</v>
      </c>
      <c r="G12" s="27">
        <f t="shared" si="0"/>
        <v>10000000</v>
      </c>
      <c r="H12" s="27"/>
      <c r="I12" s="39"/>
      <c r="J12" s="27"/>
      <c r="K12" s="39"/>
      <c r="L12" s="27">
        <v>10000000</v>
      </c>
      <c r="M12" s="27"/>
      <c r="N12" s="39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9"/>
      <c r="AB12" s="38"/>
      <c r="AC12" s="29">
        <f t="shared" si="1"/>
        <v>1</v>
      </c>
      <c r="AD12" s="27">
        <f t="shared" si="2"/>
        <v>10000000</v>
      </c>
      <c r="AE12" s="27"/>
      <c r="AF12" s="27"/>
      <c r="AG12" s="27"/>
      <c r="AH12" s="27"/>
      <c r="AI12" s="27">
        <f>+'[1]JUNIO 2016'!$O$399</f>
        <v>10000000</v>
      </c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9">
        <f t="shared" si="3"/>
        <v>0</v>
      </c>
      <c r="AZ12" s="27">
        <f t="shared" si="4"/>
        <v>0</v>
      </c>
      <c r="BA12" s="27">
        <f t="shared" si="5"/>
        <v>0</v>
      </c>
      <c r="BB12" s="27">
        <f t="shared" si="19"/>
        <v>0</v>
      </c>
      <c r="BC12" s="27">
        <f t="shared" si="6"/>
        <v>0</v>
      </c>
      <c r="BD12" s="27">
        <f t="shared" si="6"/>
        <v>0</v>
      </c>
      <c r="BE12" s="27">
        <f t="shared" si="7"/>
        <v>0</v>
      </c>
      <c r="BF12" s="27">
        <f t="shared" si="7"/>
        <v>0</v>
      </c>
      <c r="BG12" s="27">
        <f t="shared" si="7"/>
        <v>0</v>
      </c>
      <c r="BH12" s="27">
        <f t="shared" si="7"/>
        <v>0</v>
      </c>
      <c r="BI12" s="27">
        <f t="shared" si="7"/>
        <v>0</v>
      </c>
      <c r="BJ12" s="27">
        <f t="shared" si="7"/>
        <v>0</v>
      </c>
      <c r="BK12" s="27">
        <f t="shared" si="7"/>
        <v>0</v>
      </c>
      <c r="BL12" s="27">
        <f t="shared" si="7"/>
        <v>0</v>
      </c>
      <c r="BM12" s="27">
        <f t="shared" si="7"/>
        <v>0</v>
      </c>
      <c r="BN12" s="27">
        <f t="shared" si="7"/>
        <v>0</v>
      </c>
      <c r="BO12" s="27">
        <f t="shared" si="7"/>
        <v>0</v>
      </c>
      <c r="BP12" s="27">
        <f t="shared" si="7"/>
        <v>0</v>
      </c>
      <c r="BQ12" s="27"/>
      <c r="BR12" s="27"/>
      <c r="BS12" s="27">
        <f t="shared" si="8"/>
        <v>0</v>
      </c>
      <c r="BT12" s="27">
        <f t="shared" si="9"/>
        <v>0</v>
      </c>
      <c r="BU12" s="29">
        <f t="shared" si="10"/>
        <v>0</v>
      </c>
      <c r="BV12" s="27">
        <f t="shared" si="11"/>
        <v>0</v>
      </c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9">
        <f t="shared" si="12"/>
        <v>1</v>
      </c>
      <c r="CR12" s="27">
        <f t="shared" si="13"/>
        <v>10000000</v>
      </c>
      <c r="CS12" s="27">
        <f t="shared" si="14"/>
        <v>0</v>
      </c>
      <c r="CT12" s="27">
        <f t="shared" si="14"/>
        <v>0</v>
      </c>
      <c r="CU12" s="27">
        <f t="shared" si="14"/>
        <v>0</v>
      </c>
      <c r="CV12" s="27">
        <f t="shared" si="14"/>
        <v>0</v>
      </c>
      <c r="CW12" s="27">
        <f t="shared" si="14"/>
        <v>10000000</v>
      </c>
      <c r="CX12" s="27">
        <f t="shared" si="14"/>
        <v>0</v>
      </c>
      <c r="CY12" s="27">
        <f t="shared" si="14"/>
        <v>0</v>
      </c>
      <c r="CZ12" s="27">
        <f t="shared" si="15"/>
        <v>0</v>
      </c>
      <c r="DA12" s="27">
        <f t="shared" si="15"/>
        <v>0</v>
      </c>
      <c r="DB12" s="27">
        <f t="shared" si="15"/>
        <v>0</v>
      </c>
      <c r="DC12" s="27">
        <f t="shared" si="16"/>
        <v>0</v>
      </c>
      <c r="DD12" s="27">
        <f t="shared" si="16"/>
        <v>0</v>
      </c>
      <c r="DE12" s="27">
        <f t="shared" si="16"/>
        <v>0</v>
      </c>
      <c r="DF12" s="27">
        <f t="shared" si="17"/>
        <v>0</v>
      </c>
      <c r="DG12" s="27">
        <f t="shared" si="17"/>
        <v>0</v>
      </c>
      <c r="DH12" s="27">
        <f t="shared" si="17"/>
        <v>0</v>
      </c>
      <c r="DI12" s="27"/>
      <c r="DJ12" s="27">
        <f t="shared" si="18"/>
        <v>0</v>
      </c>
      <c r="DK12" s="27">
        <f t="shared" si="18"/>
        <v>0</v>
      </c>
      <c r="DL12" s="27">
        <f t="shared" si="18"/>
        <v>0</v>
      </c>
    </row>
    <row r="13" spans="1:116" ht="64.5" customHeight="1" x14ac:dyDescent="0.25">
      <c r="A13" s="34"/>
      <c r="B13" s="37" t="s">
        <v>64</v>
      </c>
      <c r="C13" s="23" t="s">
        <v>65</v>
      </c>
      <c r="D13" s="24" t="s">
        <v>66</v>
      </c>
      <c r="E13" s="25">
        <v>510</v>
      </c>
      <c r="F13" s="26" t="s">
        <v>67</v>
      </c>
      <c r="G13" s="27">
        <f t="shared" si="0"/>
        <v>228854662</v>
      </c>
      <c r="H13" s="27"/>
      <c r="I13" s="27"/>
      <c r="J13" s="27"/>
      <c r="K13" s="27"/>
      <c r="L13" s="27">
        <v>160000000</v>
      </c>
      <c r="M13" s="27">
        <v>14004396</v>
      </c>
      <c r="N13" s="27"/>
      <c r="O13" s="27"/>
      <c r="P13" s="27"/>
      <c r="Q13" s="27"/>
      <c r="R13" s="27"/>
      <c r="S13" s="27"/>
      <c r="T13" s="27"/>
      <c r="U13" s="27">
        <v>1796640</v>
      </c>
      <c r="V13" s="27"/>
      <c r="W13" s="27"/>
      <c r="X13" s="27"/>
      <c r="Y13" s="27"/>
      <c r="Z13" s="27"/>
      <c r="AA13" s="27">
        <f>48000000+2053626+3000000</f>
        <v>53053626</v>
      </c>
      <c r="AC13" s="29">
        <f t="shared" si="1"/>
        <v>0.96378017416136363</v>
      </c>
      <c r="AD13" s="27">
        <f t="shared" si="2"/>
        <v>220565586</v>
      </c>
      <c r="AE13" s="27"/>
      <c r="AF13" s="27"/>
      <c r="AG13" s="27"/>
      <c r="AH13" s="27"/>
      <c r="AI13" s="27">
        <v>160000000</v>
      </c>
      <c r="AJ13" s="27">
        <f>+'[6]FEBRERO 2016'!$P$697</f>
        <v>14004396</v>
      </c>
      <c r="AK13" s="27"/>
      <c r="AL13" s="27"/>
      <c r="AM13" s="27"/>
      <c r="AN13" s="27"/>
      <c r="AO13" s="27"/>
      <c r="AP13" s="27"/>
      <c r="AQ13" s="27"/>
      <c r="AR13" s="27">
        <f>+'[6]FEBRERO 2016'!$X$699</f>
        <v>1796640</v>
      </c>
      <c r="AS13" s="27"/>
      <c r="AT13" s="27"/>
      <c r="AU13" s="27"/>
      <c r="AV13" s="27"/>
      <c r="AW13" s="27"/>
      <c r="AX13" s="27">
        <f>+'[4]ABRIL 2016'!$AG$1142</f>
        <v>44764550</v>
      </c>
      <c r="AY13" s="29">
        <f t="shared" si="3"/>
        <v>3.6219825838636366E-2</v>
      </c>
      <c r="AZ13" s="27">
        <f t="shared" si="4"/>
        <v>8289076</v>
      </c>
      <c r="BA13" s="27">
        <f t="shared" si="5"/>
        <v>0</v>
      </c>
      <c r="BB13" s="27">
        <f t="shared" si="19"/>
        <v>0</v>
      </c>
      <c r="BC13" s="27">
        <f t="shared" si="6"/>
        <v>0</v>
      </c>
      <c r="BD13" s="27">
        <f t="shared" si="6"/>
        <v>0</v>
      </c>
      <c r="BE13" s="27">
        <f t="shared" si="7"/>
        <v>0</v>
      </c>
      <c r="BF13" s="27">
        <f t="shared" si="7"/>
        <v>0</v>
      </c>
      <c r="BG13" s="27">
        <f t="shared" si="7"/>
        <v>0</v>
      </c>
      <c r="BH13" s="27">
        <f t="shared" si="7"/>
        <v>0</v>
      </c>
      <c r="BI13" s="27">
        <f t="shared" si="7"/>
        <v>0</v>
      </c>
      <c r="BJ13" s="27">
        <f t="shared" si="7"/>
        <v>0</v>
      </c>
      <c r="BK13" s="27">
        <f t="shared" si="7"/>
        <v>0</v>
      </c>
      <c r="BL13" s="27">
        <f t="shared" si="7"/>
        <v>0</v>
      </c>
      <c r="BM13" s="27">
        <f t="shared" si="7"/>
        <v>0</v>
      </c>
      <c r="BN13" s="27">
        <f t="shared" si="7"/>
        <v>0</v>
      </c>
      <c r="BO13" s="27">
        <f t="shared" si="7"/>
        <v>0</v>
      </c>
      <c r="BP13" s="27">
        <f t="shared" si="7"/>
        <v>0</v>
      </c>
      <c r="BQ13" s="27"/>
      <c r="BR13" s="27"/>
      <c r="BS13" s="27">
        <f t="shared" si="8"/>
        <v>0</v>
      </c>
      <c r="BT13" s="27">
        <f t="shared" si="9"/>
        <v>8289076</v>
      </c>
      <c r="BU13" s="29">
        <f t="shared" si="10"/>
        <v>0.8894811939640539</v>
      </c>
      <c r="BV13" s="27">
        <f t="shared" si="11"/>
        <v>203561918</v>
      </c>
      <c r="BW13" s="27"/>
      <c r="BX13" s="27"/>
      <c r="BY13" s="27"/>
      <c r="BZ13" s="27"/>
      <c r="CA13" s="27">
        <f>+'[1]JUNIO 2016'!$H$1519+'[1]JUNIO 2016'!$H$1521+'[1]JUNIO 2016'!$H$1523+'[1]JUNIO 2016'!$H$1525+'[1]JUNIO 2016'!$H$1531+'[1]JUNIO 2016'!$H$1533+'[1]JUNIO 2016'!$H$1547+'[1]JUNIO 2016'!$H$1564</f>
        <v>143458824</v>
      </c>
      <c r="CB13" s="27">
        <f>+'[3]MAYO 2016'!$H$1359</f>
        <v>14004396</v>
      </c>
      <c r="CC13" s="27"/>
      <c r="CD13" s="27"/>
      <c r="CE13" s="27"/>
      <c r="CF13" s="27"/>
      <c r="CG13" s="27"/>
      <c r="CH13" s="27"/>
      <c r="CI13" s="27"/>
      <c r="CJ13" s="27">
        <f>+'[3]MAYO 2016'!$H$1361</f>
        <v>1796640</v>
      </c>
      <c r="CK13" s="27"/>
      <c r="CL13" s="27"/>
      <c r="CM13" s="27"/>
      <c r="CN13" s="27"/>
      <c r="CO13" s="27"/>
      <c r="CP13" s="27">
        <f>+'[3]MAYO 2016'!$H$1325+'[3]MAYO 2016'!$H$1333+'[3]MAYO 2016'!$H$1336+'[3]MAYO 2016'!$H$1340+'[3]MAYO 2016'!$H$1342+'[3]MAYO 2016'!$H$1344+'[3]MAYO 2016'!$H$1354+'[3]MAYO 2016'!$H$1355+'[3]MAYO 2016'!$H$1363+'[3]MAYO 2016'!$H$1366+'[3]MAYO 2016'!$H$1367</f>
        <v>44302058</v>
      </c>
      <c r="CQ13" s="29">
        <f t="shared" si="12"/>
        <v>0.1105188060359461</v>
      </c>
      <c r="CR13" s="27">
        <f t="shared" si="13"/>
        <v>25292744</v>
      </c>
      <c r="CS13" s="27">
        <f t="shared" si="14"/>
        <v>0</v>
      </c>
      <c r="CT13" s="27">
        <f t="shared" si="14"/>
        <v>0</v>
      </c>
      <c r="CU13" s="27">
        <f t="shared" si="14"/>
        <v>0</v>
      </c>
      <c r="CV13" s="27">
        <f t="shared" si="14"/>
        <v>0</v>
      </c>
      <c r="CW13" s="27">
        <f t="shared" si="14"/>
        <v>16541176</v>
      </c>
      <c r="CX13" s="27">
        <f t="shared" si="14"/>
        <v>0</v>
      </c>
      <c r="CY13" s="27">
        <f t="shared" si="14"/>
        <v>0</v>
      </c>
      <c r="CZ13" s="27">
        <f t="shared" si="15"/>
        <v>0</v>
      </c>
      <c r="DA13" s="27">
        <f t="shared" si="15"/>
        <v>0</v>
      </c>
      <c r="DB13" s="27">
        <f t="shared" si="15"/>
        <v>0</v>
      </c>
      <c r="DC13" s="27">
        <f t="shared" si="16"/>
        <v>0</v>
      </c>
      <c r="DD13" s="27">
        <f t="shared" si="16"/>
        <v>0</v>
      </c>
      <c r="DE13" s="27">
        <f t="shared" si="16"/>
        <v>0</v>
      </c>
      <c r="DF13" s="27">
        <f t="shared" si="17"/>
        <v>0</v>
      </c>
      <c r="DG13" s="27">
        <f t="shared" si="17"/>
        <v>0</v>
      </c>
      <c r="DH13" s="27">
        <f t="shared" si="17"/>
        <v>0</v>
      </c>
      <c r="DI13" s="27"/>
      <c r="DJ13" s="27">
        <f t="shared" si="18"/>
        <v>0</v>
      </c>
      <c r="DK13" s="27">
        <f t="shared" si="18"/>
        <v>0</v>
      </c>
      <c r="DL13" s="27">
        <f t="shared" si="18"/>
        <v>8751568</v>
      </c>
    </row>
    <row r="14" spans="1:116" ht="36" customHeight="1" x14ac:dyDescent="0.25">
      <c r="A14" s="34"/>
      <c r="B14" s="212" t="s">
        <v>68</v>
      </c>
      <c r="C14" s="23" t="s">
        <v>69</v>
      </c>
      <c r="D14" s="24" t="s">
        <v>70</v>
      </c>
      <c r="E14" s="25">
        <v>510</v>
      </c>
      <c r="F14" s="26" t="s">
        <v>43</v>
      </c>
      <c r="G14" s="27">
        <f t="shared" si="0"/>
        <v>65000000</v>
      </c>
      <c r="H14" s="27"/>
      <c r="I14" s="27"/>
      <c r="J14" s="27"/>
      <c r="K14" s="27"/>
      <c r="L14" s="27">
        <v>65000000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C14" s="29">
        <f t="shared" si="1"/>
        <v>0.75118858461538462</v>
      </c>
      <c r="AD14" s="27">
        <f t="shared" si="2"/>
        <v>48827258</v>
      </c>
      <c r="AE14" s="27"/>
      <c r="AF14" s="27"/>
      <c r="AG14" s="27"/>
      <c r="AH14" s="27"/>
      <c r="AI14" s="27">
        <f>+'[1]JUNIO 2016'!$G$1577</f>
        <v>48827258</v>
      </c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9">
        <f t="shared" si="3"/>
        <v>0.24881141538461538</v>
      </c>
      <c r="AZ14" s="27">
        <f t="shared" si="4"/>
        <v>16172742</v>
      </c>
      <c r="BA14" s="27">
        <f t="shared" si="5"/>
        <v>0</v>
      </c>
      <c r="BB14" s="27">
        <f t="shared" si="19"/>
        <v>0</v>
      </c>
      <c r="BC14" s="27">
        <f t="shared" si="6"/>
        <v>0</v>
      </c>
      <c r="BD14" s="27">
        <f t="shared" si="6"/>
        <v>0</v>
      </c>
      <c r="BE14" s="27">
        <f t="shared" si="7"/>
        <v>16172742</v>
      </c>
      <c r="BF14" s="27">
        <f t="shared" si="7"/>
        <v>0</v>
      </c>
      <c r="BG14" s="27">
        <f t="shared" si="7"/>
        <v>0</v>
      </c>
      <c r="BH14" s="27">
        <f t="shared" si="7"/>
        <v>0</v>
      </c>
      <c r="BI14" s="27">
        <f t="shared" si="7"/>
        <v>0</v>
      </c>
      <c r="BJ14" s="27">
        <f t="shared" si="7"/>
        <v>0</v>
      </c>
      <c r="BK14" s="27">
        <f t="shared" si="7"/>
        <v>0</v>
      </c>
      <c r="BL14" s="27">
        <f t="shared" si="7"/>
        <v>0</v>
      </c>
      <c r="BM14" s="27">
        <f t="shared" si="7"/>
        <v>0</v>
      </c>
      <c r="BN14" s="27">
        <f t="shared" si="7"/>
        <v>0</v>
      </c>
      <c r="BO14" s="27">
        <f t="shared" si="7"/>
        <v>0</v>
      </c>
      <c r="BP14" s="27">
        <f t="shared" si="7"/>
        <v>0</v>
      </c>
      <c r="BQ14" s="27"/>
      <c r="BR14" s="27">
        <f>+Y14-AV14</f>
        <v>0</v>
      </c>
      <c r="BS14" s="27">
        <f t="shared" si="8"/>
        <v>0</v>
      </c>
      <c r="BT14" s="27">
        <f t="shared" si="9"/>
        <v>0</v>
      </c>
      <c r="BU14" s="29">
        <f t="shared" si="10"/>
        <v>0.68972375384615381</v>
      </c>
      <c r="BV14" s="27">
        <f t="shared" si="11"/>
        <v>44832044</v>
      </c>
      <c r="BW14" s="27"/>
      <c r="BX14" s="27"/>
      <c r="BY14" s="27"/>
      <c r="BZ14" s="27"/>
      <c r="CA14" s="27">
        <f>+'[1]JUNIO 2016'!$H$1577</f>
        <v>44832044</v>
      </c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9">
        <f t="shared" si="12"/>
        <v>0.31027624615384619</v>
      </c>
      <c r="CR14" s="27">
        <f t="shared" si="13"/>
        <v>20167956</v>
      </c>
      <c r="CS14" s="27">
        <f t="shared" si="14"/>
        <v>0</v>
      </c>
      <c r="CT14" s="27">
        <f t="shared" si="14"/>
        <v>0</v>
      </c>
      <c r="CU14" s="27">
        <f t="shared" si="14"/>
        <v>0</v>
      </c>
      <c r="CV14" s="27">
        <f t="shared" si="14"/>
        <v>0</v>
      </c>
      <c r="CW14" s="27">
        <f t="shared" si="14"/>
        <v>20167956</v>
      </c>
      <c r="CX14" s="27">
        <f t="shared" si="14"/>
        <v>0</v>
      </c>
      <c r="CY14" s="27">
        <f t="shared" si="14"/>
        <v>0</v>
      </c>
      <c r="CZ14" s="27">
        <f t="shared" si="15"/>
        <v>0</v>
      </c>
      <c r="DA14" s="27">
        <f t="shared" si="15"/>
        <v>0</v>
      </c>
      <c r="DB14" s="27">
        <f t="shared" si="15"/>
        <v>0</v>
      </c>
      <c r="DC14" s="27">
        <f t="shared" si="16"/>
        <v>0</v>
      </c>
      <c r="DD14" s="27">
        <f t="shared" si="16"/>
        <v>0</v>
      </c>
      <c r="DE14" s="27">
        <f t="shared" si="16"/>
        <v>0</v>
      </c>
      <c r="DF14" s="27">
        <f t="shared" si="17"/>
        <v>0</v>
      </c>
      <c r="DG14" s="27">
        <f t="shared" si="17"/>
        <v>0</v>
      </c>
      <c r="DH14" s="27">
        <f t="shared" si="17"/>
        <v>0</v>
      </c>
      <c r="DI14" s="27"/>
      <c r="DJ14" s="27">
        <f t="shared" si="18"/>
        <v>0</v>
      </c>
      <c r="DK14" s="27">
        <f t="shared" si="18"/>
        <v>0</v>
      </c>
      <c r="DL14" s="27">
        <f t="shared" si="18"/>
        <v>0</v>
      </c>
    </row>
    <row r="15" spans="1:116" ht="36" customHeight="1" x14ac:dyDescent="0.25">
      <c r="A15" s="34"/>
      <c r="B15" s="225"/>
      <c r="C15" s="23" t="s">
        <v>71</v>
      </c>
      <c r="D15" s="24" t="s">
        <v>72</v>
      </c>
      <c r="E15" s="25">
        <v>510</v>
      </c>
      <c r="F15" s="26" t="s">
        <v>43</v>
      </c>
      <c r="G15" s="27">
        <f t="shared" si="0"/>
        <v>32000000</v>
      </c>
      <c r="H15" s="27"/>
      <c r="I15" s="27"/>
      <c r="J15" s="27"/>
      <c r="K15" s="27"/>
      <c r="L15" s="27">
        <v>1568554</v>
      </c>
      <c r="M15" s="27"/>
      <c r="N15" s="27"/>
      <c r="O15" s="27"/>
      <c r="P15" s="27"/>
      <c r="Q15" s="27"/>
      <c r="R15" s="27"/>
      <c r="S15" s="27"/>
      <c r="T15" s="27">
        <v>30431446</v>
      </c>
      <c r="U15" s="27"/>
      <c r="V15" s="27"/>
      <c r="W15" s="27"/>
      <c r="X15" s="27"/>
      <c r="Y15" s="27"/>
      <c r="Z15" s="27"/>
      <c r="AA15" s="27"/>
      <c r="AC15" s="29">
        <f t="shared" si="1"/>
        <v>0.76304484375000003</v>
      </c>
      <c r="AD15" s="27">
        <f t="shared" si="2"/>
        <v>24417435</v>
      </c>
      <c r="AE15" s="27"/>
      <c r="AF15" s="27"/>
      <c r="AG15" s="27"/>
      <c r="AH15" s="27"/>
      <c r="AI15" s="27">
        <f>+'[3]MAYO 2016'!$O$1393</f>
        <v>1550000</v>
      </c>
      <c r="AJ15" s="27"/>
      <c r="AK15" s="27"/>
      <c r="AL15" s="27"/>
      <c r="AM15" s="27"/>
      <c r="AN15" s="27"/>
      <c r="AO15" s="27"/>
      <c r="AP15" s="27"/>
      <c r="AQ15" s="27">
        <f>+'[3]MAYO 2016'!$W$1393</f>
        <v>22867435</v>
      </c>
      <c r="AR15" s="27"/>
      <c r="AS15" s="27"/>
      <c r="AT15" s="27"/>
      <c r="AU15" s="27"/>
      <c r="AV15" s="27"/>
      <c r="AW15" s="27"/>
      <c r="AX15" s="27"/>
      <c r="AY15" s="29">
        <f t="shared" si="3"/>
        <v>0.23695515624999997</v>
      </c>
      <c r="AZ15" s="27">
        <f t="shared" si="4"/>
        <v>7582565</v>
      </c>
      <c r="BA15" s="27">
        <f t="shared" si="5"/>
        <v>0</v>
      </c>
      <c r="BB15" s="27">
        <f t="shared" si="19"/>
        <v>0</v>
      </c>
      <c r="BC15" s="27">
        <f t="shared" si="6"/>
        <v>0</v>
      </c>
      <c r="BD15" s="27">
        <f t="shared" si="6"/>
        <v>0</v>
      </c>
      <c r="BE15" s="27">
        <f t="shared" si="7"/>
        <v>18554</v>
      </c>
      <c r="BF15" s="27">
        <f t="shared" si="7"/>
        <v>0</v>
      </c>
      <c r="BG15" s="27">
        <f t="shared" si="7"/>
        <v>0</v>
      </c>
      <c r="BH15" s="27">
        <f t="shared" si="7"/>
        <v>0</v>
      </c>
      <c r="BI15" s="27">
        <f t="shared" si="7"/>
        <v>0</v>
      </c>
      <c r="BJ15" s="27">
        <f t="shared" si="7"/>
        <v>0</v>
      </c>
      <c r="BK15" s="27">
        <f t="shared" si="7"/>
        <v>0</v>
      </c>
      <c r="BL15" s="27">
        <f t="shared" si="7"/>
        <v>0</v>
      </c>
      <c r="BM15" s="27">
        <f t="shared" si="7"/>
        <v>7564011</v>
      </c>
      <c r="BN15" s="27">
        <f t="shared" si="7"/>
        <v>0</v>
      </c>
      <c r="BO15" s="27">
        <f t="shared" si="7"/>
        <v>0</v>
      </c>
      <c r="BP15" s="27">
        <f t="shared" si="7"/>
        <v>0</v>
      </c>
      <c r="BQ15" s="27"/>
      <c r="BR15" s="27"/>
      <c r="BS15" s="27">
        <f t="shared" si="8"/>
        <v>0</v>
      </c>
      <c r="BT15" s="27">
        <f t="shared" si="9"/>
        <v>0</v>
      </c>
      <c r="BU15" s="29">
        <f t="shared" si="10"/>
        <v>0.76271571874999999</v>
      </c>
      <c r="BV15" s="27">
        <f t="shared" si="11"/>
        <v>24406903</v>
      </c>
      <c r="BW15" s="27"/>
      <c r="BX15" s="27"/>
      <c r="BY15" s="27"/>
      <c r="BZ15" s="27"/>
      <c r="CA15" s="27">
        <f>+'[3]MAYO 2016'!$O$1397</f>
        <v>1550000</v>
      </c>
      <c r="CB15" s="27"/>
      <c r="CC15" s="27"/>
      <c r="CD15" s="27"/>
      <c r="CE15" s="27"/>
      <c r="CF15" s="27"/>
      <c r="CG15" s="27"/>
      <c r="CH15" s="27"/>
      <c r="CI15" s="27">
        <f>+'[3]MAYO 2016'!$H$1394+'[3]MAYO 2016'!$H$1396+'[3]MAYO 2016'!$H$1398+'[3]MAYO 2016'!$H$1399</f>
        <v>22856903</v>
      </c>
      <c r="CJ15" s="27"/>
      <c r="CK15" s="27"/>
      <c r="CL15" s="27"/>
      <c r="CM15" s="27"/>
      <c r="CN15" s="27"/>
      <c r="CO15" s="27"/>
      <c r="CP15" s="27"/>
      <c r="CQ15" s="29">
        <f t="shared" si="12"/>
        <v>0.23728428125000001</v>
      </c>
      <c r="CR15" s="27">
        <f t="shared" si="13"/>
        <v>7593097</v>
      </c>
      <c r="CS15" s="27">
        <f t="shared" si="14"/>
        <v>0</v>
      </c>
      <c r="CT15" s="27">
        <f t="shared" si="14"/>
        <v>0</v>
      </c>
      <c r="CU15" s="27">
        <f t="shared" si="14"/>
        <v>0</v>
      </c>
      <c r="CV15" s="27">
        <f t="shared" si="14"/>
        <v>0</v>
      </c>
      <c r="CW15" s="27">
        <f t="shared" si="14"/>
        <v>18554</v>
      </c>
      <c r="CX15" s="27">
        <f t="shared" si="14"/>
        <v>0</v>
      </c>
      <c r="CY15" s="27">
        <f t="shared" si="14"/>
        <v>0</v>
      </c>
      <c r="CZ15" s="27">
        <f t="shared" si="15"/>
        <v>0</v>
      </c>
      <c r="DA15" s="27">
        <f t="shared" si="15"/>
        <v>0</v>
      </c>
      <c r="DB15" s="27">
        <f t="shared" si="15"/>
        <v>0</v>
      </c>
      <c r="DC15" s="27">
        <f t="shared" si="16"/>
        <v>0</v>
      </c>
      <c r="DD15" s="27">
        <f t="shared" si="16"/>
        <v>0</v>
      </c>
      <c r="DE15" s="27">
        <f t="shared" si="16"/>
        <v>7574543</v>
      </c>
      <c r="DF15" s="27">
        <f t="shared" si="17"/>
        <v>0</v>
      </c>
      <c r="DG15" s="27">
        <f t="shared" si="17"/>
        <v>0</v>
      </c>
      <c r="DH15" s="27">
        <f t="shared" si="17"/>
        <v>0</v>
      </c>
      <c r="DI15" s="27"/>
      <c r="DJ15" s="27">
        <f t="shared" si="18"/>
        <v>0</v>
      </c>
      <c r="DK15" s="27">
        <f t="shared" si="18"/>
        <v>0</v>
      </c>
      <c r="DL15" s="27">
        <f t="shared" si="18"/>
        <v>0</v>
      </c>
    </row>
    <row r="16" spans="1:116" ht="22.5" hidden="1" customHeight="1" x14ac:dyDescent="0.25">
      <c r="A16" s="34"/>
      <c r="B16" s="213"/>
      <c r="C16" s="23" t="s">
        <v>73</v>
      </c>
      <c r="D16" s="24" t="s">
        <v>74</v>
      </c>
      <c r="E16" s="25">
        <v>510</v>
      </c>
      <c r="F16" s="26" t="s">
        <v>75</v>
      </c>
      <c r="G16" s="27">
        <f t="shared" si="0"/>
        <v>0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>
        <f>4000000-4000000</f>
        <v>0</v>
      </c>
      <c r="AC16" s="29" t="e">
        <f t="shared" si="1"/>
        <v>#DIV/0!</v>
      </c>
      <c r="AD16" s="27">
        <f t="shared" si="2"/>
        <v>0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9" t="e">
        <f t="shared" si="3"/>
        <v>#DIV/0!</v>
      </c>
      <c r="AZ16" s="27">
        <f t="shared" si="4"/>
        <v>0</v>
      </c>
      <c r="BA16" s="27">
        <f t="shared" si="5"/>
        <v>0</v>
      </c>
      <c r="BB16" s="27">
        <f t="shared" si="19"/>
        <v>0</v>
      </c>
      <c r="BC16" s="27">
        <f t="shared" si="6"/>
        <v>0</v>
      </c>
      <c r="BD16" s="27">
        <f t="shared" si="6"/>
        <v>0</v>
      </c>
      <c r="BE16" s="27">
        <f t="shared" si="7"/>
        <v>0</v>
      </c>
      <c r="BF16" s="27">
        <f t="shared" si="7"/>
        <v>0</v>
      </c>
      <c r="BG16" s="27">
        <f t="shared" si="7"/>
        <v>0</v>
      </c>
      <c r="BH16" s="27">
        <f t="shared" si="7"/>
        <v>0</v>
      </c>
      <c r="BI16" s="27">
        <f t="shared" si="7"/>
        <v>0</v>
      </c>
      <c r="BJ16" s="27">
        <f t="shared" si="7"/>
        <v>0</v>
      </c>
      <c r="BK16" s="27">
        <f t="shared" si="7"/>
        <v>0</v>
      </c>
      <c r="BL16" s="27">
        <f t="shared" si="7"/>
        <v>0</v>
      </c>
      <c r="BM16" s="27">
        <f t="shared" si="7"/>
        <v>0</v>
      </c>
      <c r="BN16" s="27">
        <f t="shared" si="7"/>
        <v>0</v>
      </c>
      <c r="BO16" s="27">
        <f t="shared" si="7"/>
        <v>0</v>
      </c>
      <c r="BP16" s="27">
        <f t="shared" si="7"/>
        <v>0</v>
      </c>
      <c r="BQ16" s="27"/>
      <c r="BR16" s="27"/>
      <c r="BS16" s="27">
        <f t="shared" si="8"/>
        <v>0</v>
      </c>
      <c r="BT16" s="27">
        <f t="shared" si="9"/>
        <v>0</v>
      </c>
      <c r="BU16" s="29" t="e">
        <f t="shared" si="10"/>
        <v>#DIV/0!</v>
      </c>
      <c r="BV16" s="27">
        <f t="shared" si="11"/>
        <v>0</v>
      </c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9" t="e">
        <f t="shared" si="12"/>
        <v>#DIV/0!</v>
      </c>
      <c r="CR16" s="27">
        <f t="shared" si="13"/>
        <v>0</v>
      </c>
      <c r="CS16" s="27">
        <f t="shared" si="14"/>
        <v>0</v>
      </c>
      <c r="CT16" s="27">
        <f t="shared" si="14"/>
        <v>0</v>
      </c>
      <c r="CU16" s="27">
        <f t="shared" si="14"/>
        <v>0</v>
      </c>
      <c r="CV16" s="27">
        <f t="shared" si="14"/>
        <v>0</v>
      </c>
      <c r="CW16" s="27">
        <f t="shared" si="14"/>
        <v>0</v>
      </c>
      <c r="CX16" s="27">
        <f t="shared" si="14"/>
        <v>0</v>
      </c>
      <c r="CY16" s="27">
        <f t="shared" si="14"/>
        <v>0</v>
      </c>
      <c r="CZ16" s="27">
        <f t="shared" si="15"/>
        <v>0</v>
      </c>
      <c r="DA16" s="27">
        <f t="shared" si="15"/>
        <v>0</v>
      </c>
      <c r="DB16" s="27">
        <f t="shared" si="15"/>
        <v>0</v>
      </c>
      <c r="DC16" s="27">
        <f t="shared" si="16"/>
        <v>0</v>
      </c>
      <c r="DD16" s="27">
        <f t="shared" si="16"/>
        <v>0</v>
      </c>
      <c r="DE16" s="27">
        <f t="shared" si="16"/>
        <v>0</v>
      </c>
      <c r="DF16" s="27">
        <f t="shared" si="17"/>
        <v>0</v>
      </c>
      <c r="DG16" s="27">
        <f t="shared" si="17"/>
        <v>0</v>
      </c>
      <c r="DH16" s="27">
        <f t="shared" si="17"/>
        <v>0</v>
      </c>
      <c r="DI16" s="27"/>
      <c r="DJ16" s="27">
        <f t="shared" si="18"/>
        <v>0</v>
      </c>
      <c r="DK16" s="27">
        <f t="shared" si="18"/>
        <v>0</v>
      </c>
      <c r="DL16" s="27">
        <f t="shared" si="18"/>
        <v>0</v>
      </c>
    </row>
    <row r="17" spans="1:118" ht="23.25" customHeight="1" x14ac:dyDescent="0.25">
      <c r="A17" s="34"/>
      <c r="B17" s="40" t="s">
        <v>76</v>
      </c>
      <c r="C17" s="23" t="s">
        <v>77</v>
      </c>
      <c r="D17" s="24" t="s">
        <v>366</v>
      </c>
      <c r="E17" s="25">
        <v>510</v>
      </c>
      <c r="F17" s="26" t="s">
        <v>43</v>
      </c>
      <c r="G17" s="27">
        <f t="shared" si="0"/>
        <v>30800000</v>
      </c>
      <c r="H17" s="27"/>
      <c r="I17" s="27"/>
      <c r="J17" s="27"/>
      <c r="K17" s="27"/>
      <c r="L17" s="27">
        <f>30800000</f>
        <v>30800000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C17" s="29">
        <f t="shared" si="1"/>
        <v>1</v>
      </c>
      <c r="AD17" s="27">
        <f t="shared" si="2"/>
        <v>30800000</v>
      </c>
      <c r="AE17" s="27"/>
      <c r="AF17" s="27"/>
      <c r="AG17" s="27"/>
      <c r="AH17" s="27"/>
      <c r="AI17" s="27">
        <f>+'[1]JUNIO 2016'!$O$1629</f>
        <v>30800000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9">
        <f t="shared" si="3"/>
        <v>0</v>
      </c>
      <c r="AZ17" s="27">
        <f t="shared" si="4"/>
        <v>0</v>
      </c>
      <c r="BA17" s="27">
        <f t="shared" si="5"/>
        <v>0</v>
      </c>
      <c r="BB17" s="27">
        <f t="shared" si="5"/>
        <v>0</v>
      </c>
      <c r="BC17" s="27">
        <f t="shared" si="5"/>
        <v>0</v>
      </c>
      <c r="BD17" s="27">
        <f t="shared" si="5"/>
        <v>0</v>
      </c>
      <c r="BE17" s="27">
        <f t="shared" si="7"/>
        <v>0</v>
      </c>
      <c r="BF17" s="27">
        <f t="shared" si="5"/>
        <v>0</v>
      </c>
      <c r="BG17" s="27">
        <f t="shared" si="5"/>
        <v>0</v>
      </c>
      <c r="BH17" s="27">
        <f t="shared" si="5"/>
        <v>0</v>
      </c>
      <c r="BI17" s="27">
        <f t="shared" si="5"/>
        <v>0</v>
      </c>
      <c r="BJ17" s="27">
        <f t="shared" si="5"/>
        <v>0</v>
      </c>
      <c r="BK17" s="27">
        <f t="shared" si="5"/>
        <v>0</v>
      </c>
      <c r="BL17" s="27">
        <f t="shared" si="5"/>
        <v>0</v>
      </c>
      <c r="BM17" s="27">
        <f t="shared" si="5"/>
        <v>0</v>
      </c>
      <c r="BN17" s="27">
        <f t="shared" si="5"/>
        <v>0</v>
      </c>
      <c r="BO17" s="27">
        <f t="shared" si="5"/>
        <v>0</v>
      </c>
      <c r="BP17" s="27">
        <f t="shared" si="5"/>
        <v>0</v>
      </c>
      <c r="BQ17" s="27"/>
      <c r="BR17" s="27">
        <f>+Y17</f>
        <v>0</v>
      </c>
      <c r="BS17" s="27">
        <f>+Z17</f>
        <v>0</v>
      </c>
      <c r="BT17" s="27">
        <f>+AA17</f>
        <v>0</v>
      </c>
      <c r="BU17" s="29">
        <f t="shared" si="10"/>
        <v>0</v>
      </c>
      <c r="BV17" s="27">
        <f t="shared" si="11"/>
        <v>0</v>
      </c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9">
        <f t="shared" si="12"/>
        <v>1</v>
      </c>
      <c r="CR17" s="27">
        <f t="shared" si="13"/>
        <v>30800000</v>
      </c>
      <c r="CS17" s="27">
        <f t="shared" si="14"/>
        <v>0</v>
      </c>
      <c r="CT17" s="27">
        <f t="shared" si="14"/>
        <v>0</v>
      </c>
      <c r="CU17" s="27">
        <f t="shared" si="14"/>
        <v>0</v>
      </c>
      <c r="CV17" s="27">
        <f t="shared" si="14"/>
        <v>0</v>
      </c>
      <c r="CW17" s="27">
        <f>L17-CA17</f>
        <v>30800000</v>
      </c>
      <c r="CX17" s="27">
        <f t="shared" si="14"/>
        <v>0</v>
      </c>
      <c r="CY17" s="27">
        <f t="shared" si="14"/>
        <v>0</v>
      </c>
      <c r="CZ17" s="27">
        <f>O17-CD17</f>
        <v>0</v>
      </c>
      <c r="DA17" s="27">
        <f>P17-CE17</f>
        <v>0</v>
      </c>
      <c r="DB17" s="27">
        <f>Q17-CF17</f>
        <v>0</v>
      </c>
      <c r="DC17" s="27">
        <f t="shared" si="16"/>
        <v>0</v>
      </c>
      <c r="DD17" s="27">
        <f t="shared" si="16"/>
        <v>0</v>
      </c>
      <c r="DE17" s="27">
        <f t="shared" si="16"/>
        <v>0</v>
      </c>
      <c r="DF17" s="27">
        <f>U17-CJ17</f>
        <v>0</v>
      </c>
      <c r="DG17" s="27">
        <f>V17-CK17</f>
        <v>0</v>
      </c>
      <c r="DH17" s="27">
        <f>W17-CL17</f>
        <v>0</v>
      </c>
      <c r="DI17" s="27"/>
      <c r="DJ17" s="27">
        <f>Y17-CN17</f>
        <v>0</v>
      </c>
      <c r="DK17" s="27">
        <f>Z17-CO17</f>
        <v>0</v>
      </c>
      <c r="DL17" s="27">
        <f>AA17-CP17</f>
        <v>0</v>
      </c>
    </row>
    <row r="18" spans="1:118" ht="22.5" customHeight="1" x14ac:dyDescent="0.25">
      <c r="A18" s="34"/>
      <c r="B18" s="212" t="s">
        <v>78</v>
      </c>
      <c r="C18" s="23" t="s">
        <v>79</v>
      </c>
      <c r="D18" s="24" t="s">
        <v>80</v>
      </c>
      <c r="E18" s="25">
        <v>510</v>
      </c>
      <c r="F18" s="26" t="s">
        <v>43</v>
      </c>
      <c r="G18" s="27">
        <f t="shared" si="0"/>
        <v>17000000</v>
      </c>
      <c r="H18" s="27"/>
      <c r="I18" s="27"/>
      <c r="J18" s="27"/>
      <c r="K18" s="27"/>
      <c r="L18" s="27">
        <v>17000000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C18" s="29">
        <f t="shared" si="1"/>
        <v>0</v>
      </c>
      <c r="AD18" s="27">
        <f t="shared" si="2"/>
        <v>0</v>
      </c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9">
        <f t="shared" si="3"/>
        <v>1</v>
      </c>
      <c r="AZ18" s="27">
        <f t="shared" si="4"/>
        <v>17000000</v>
      </c>
      <c r="BA18" s="27">
        <f t="shared" si="5"/>
        <v>0</v>
      </c>
      <c r="BB18" s="27">
        <f t="shared" ref="BB18:BD19" si="20">I18-AF18</f>
        <v>0</v>
      </c>
      <c r="BC18" s="27">
        <f t="shared" si="20"/>
        <v>0</v>
      </c>
      <c r="BD18" s="27">
        <f t="shared" si="20"/>
        <v>0</v>
      </c>
      <c r="BE18" s="27">
        <f t="shared" si="7"/>
        <v>17000000</v>
      </c>
      <c r="BF18" s="27">
        <f t="shared" si="7"/>
        <v>0</v>
      </c>
      <c r="BG18" s="27">
        <f t="shared" si="7"/>
        <v>0</v>
      </c>
      <c r="BH18" s="27">
        <f t="shared" si="7"/>
        <v>0</v>
      </c>
      <c r="BI18" s="27">
        <f t="shared" si="7"/>
        <v>0</v>
      </c>
      <c r="BJ18" s="27">
        <f t="shared" si="7"/>
        <v>0</v>
      </c>
      <c r="BK18" s="27">
        <f t="shared" si="7"/>
        <v>0</v>
      </c>
      <c r="BL18" s="27">
        <f t="shared" si="7"/>
        <v>0</v>
      </c>
      <c r="BM18" s="27">
        <f t="shared" si="7"/>
        <v>0</v>
      </c>
      <c r="BN18" s="27">
        <f t="shared" si="7"/>
        <v>0</v>
      </c>
      <c r="BO18" s="27">
        <f t="shared" si="7"/>
        <v>0</v>
      </c>
      <c r="BP18" s="27">
        <f t="shared" si="7"/>
        <v>0</v>
      </c>
      <c r="BQ18" s="27"/>
      <c r="BR18" s="27"/>
      <c r="BS18" s="27">
        <f>Z18-AW18</f>
        <v>0</v>
      </c>
      <c r="BT18" s="27">
        <f>+AA18-AX18</f>
        <v>0</v>
      </c>
      <c r="BU18" s="29">
        <f t="shared" si="10"/>
        <v>0</v>
      </c>
      <c r="BV18" s="27">
        <f t="shared" si="11"/>
        <v>0</v>
      </c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9">
        <f t="shared" si="12"/>
        <v>1</v>
      </c>
      <c r="CR18" s="27">
        <f t="shared" si="13"/>
        <v>17000000</v>
      </c>
      <c r="CS18" s="27">
        <f t="shared" si="14"/>
        <v>0</v>
      </c>
      <c r="CT18" s="27">
        <f t="shared" si="14"/>
        <v>0</v>
      </c>
      <c r="CU18" s="27">
        <f t="shared" si="14"/>
        <v>0</v>
      </c>
      <c r="CV18" s="27">
        <f t="shared" si="14"/>
        <v>0</v>
      </c>
      <c r="CW18" s="27">
        <f t="shared" si="14"/>
        <v>17000000</v>
      </c>
      <c r="CX18" s="27">
        <f t="shared" si="14"/>
        <v>0</v>
      </c>
      <c r="CY18" s="27">
        <f t="shared" si="14"/>
        <v>0</v>
      </c>
      <c r="CZ18" s="27">
        <f t="shared" ref="CZ18:DB19" si="21">+O18-CD18</f>
        <v>0</v>
      </c>
      <c r="DA18" s="27">
        <f t="shared" si="21"/>
        <v>0</v>
      </c>
      <c r="DB18" s="27">
        <f t="shared" si="21"/>
        <v>0</v>
      </c>
      <c r="DC18" s="27">
        <f t="shared" si="16"/>
        <v>0</v>
      </c>
      <c r="DD18" s="27">
        <f t="shared" si="16"/>
        <v>0</v>
      </c>
      <c r="DE18" s="27">
        <f t="shared" si="16"/>
        <v>0</v>
      </c>
      <c r="DF18" s="27">
        <f t="shared" ref="DF18:DH19" si="22">+U18-CJ18</f>
        <v>0</v>
      </c>
      <c r="DG18" s="27">
        <f t="shared" si="22"/>
        <v>0</v>
      </c>
      <c r="DH18" s="27">
        <f t="shared" si="22"/>
        <v>0</v>
      </c>
      <c r="DI18" s="27"/>
      <c r="DJ18" s="27">
        <f t="shared" ref="DJ18:DL19" si="23">+Y18-CN18</f>
        <v>0</v>
      </c>
      <c r="DK18" s="27">
        <f t="shared" si="23"/>
        <v>0</v>
      </c>
      <c r="DL18" s="27">
        <f t="shared" si="23"/>
        <v>0</v>
      </c>
    </row>
    <row r="19" spans="1:118" ht="18.75" customHeight="1" x14ac:dyDescent="0.25">
      <c r="A19" s="41"/>
      <c r="B19" s="213"/>
      <c r="C19" s="23" t="s">
        <v>81</v>
      </c>
      <c r="D19" s="24" t="s">
        <v>82</v>
      </c>
      <c r="E19" s="25">
        <v>510</v>
      </c>
      <c r="F19" s="26" t="s">
        <v>83</v>
      </c>
      <c r="G19" s="27">
        <f t="shared" si="0"/>
        <v>61000000</v>
      </c>
      <c r="H19" s="27"/>
      <c r="I19" s="27"/>
      <c r="J19" s="27"/>
      <c r="K19" s="27"/>
      <c r="L19" s="27">
        <v>40000000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>
        <v>21000000</v>
      </c>
      <c r="AC19" s="29">
        <f t="shared" si="1"/>
        <v>0.62564786885245904</v>
      </c>
      <c r="AD19" s="27">
        <f t="shared" si="2"/>
        <v>38164520</v>
      </c>
      <c r="AE19" s="27"/>
      <c r="AF19" s="27"/>
      <c r="AG19" s="27"/>
      <c r="AH19" s="27"/>
      <c r="AI19" s="27">
        <f>+'[4]ABRIL 2016'!$O$1238</f>
        <v>38164520</v>
      </c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9">
        <f t="shared" si="3"/>
        <v>0.37435213114754096</v>
      </c>
      <c r="AZ19" s="27">
        <f t="shared" si="4"/>
        <v>22835480</v>
      </c>
      <c r="BA19" s="27">
        <f t="shared" si="5"/>
        <v>0</v>
      </c>
      <c r="BB19" s="27">
        <f t="shared" si="20"/>
        <v>0</v>
      </c>
      <c r="BC19" s="27">
        <f t="shared" si="20"/>
        <v>0</v>
      </c>
      <c r="BD19" s="27">
        <f t="shared" si="20"/>
        <v>0</v>
      </c>
      <c r="BE19" s="27">
        <f t="shared" si="7"/>
        <v>1835480</v>
      </c>
      <c r="BF19" s="27">
        <f t="shared" si="7"/>
        <v>0</v>
      </c>
      <c r="BG19" s="27">
        <f t="shared" si="7"/>
        <v>0</v>
      </c>
      <c r="BH19" s="27">
        <f t="shared" si="7"/>
        <v>0</v>
      </c>
      <c r="BI19" s="27">
        <f t="shared" si="7"/>
        <v>0</v>
      </c>
      <c r="BJ19" s="27">
        <f t="shared" si="7"/>
        <v>0</v>
      </c>
      <c r="BK19" s="27">
        <f t="shared" si="7"/>
        <v>0</v>
      </c>
      <c r="BL19" s="27">
        <f t="shared" si="7"/>
        <v>0</v>
      </c>
      <c r="BM19" s="27">
        <f t="shared" si="7"/>
        <v>0</v>
      </c>
      <c r="BN19" s="27">
        <f t="shared" si="7"/>
        <v>0</v>
      </c>
      <c r="BO19" s="27">
        <f t="shared" si="7"/>
        <v>0</v>
      </c>
      <c r="BP19" s="27">
        <f t="shared" si="7"/>
        <v>0</v>
      </c>
      <c r="BQ19" s="27"/>
      <c r="BR19" s="27"/>
      <c r="BS19" s="27">
        <f>Z19-AW19</f>
        <v>0</v>
      </c>
      <c r="BT19" s="27">
        <f>+AA19-AX19</f>
        <v>21000000</v>
      </c>
      <c r="BU19" s="29">
        <f t="shared" si="10"/>
        <v>0.60925432786885247</v>
      </c>
      <c r="BV19" s="27">
        <f t="shared" si="11"/>
        <v>37164514</v>
      </c>
      <c r="BW19" s="27"/>
      <c r="BX19" s="27"/>
      <c r="BY19" s="27"/>
      <c r="BZ19" s="27"/>
      <c r="CA19" s="27">
        <f>+'[3]MAYO 2016'!$H$1417</f>
        <v>37164514</v>
      </c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9">
        <f t="shared" si="12"/>
        <v>0.39074567213114753</v>
      </c>
      <c r="CR19" s="27">
        <f t="shared" si="13"/>
        <v>23835486</v>
      </c>
      <c r="CS19" s="27">
        <f t="shared" si="14"/>
        <v>0</v>
      </c>
      <c r="CT19" s="27">
        <f t="shared" si="14"/>
        <v>0</v>
      </c>
      <c r="CU19" s="27">
        <f t="shared" si="14"/>
        <v>0</v>
      </c>
      <c r="CV19" s="27">
        <f t="shared" si="14"/>
        <v>0</v>
      </c>
      <c r="CW19" s="27">
        <f t="shared" si="14"/>
        <v>2835486</v>
      </c>
      <c r="CX19" s="27">
        <f t="shared" si="14"/>
        <v>0</v>
      </c>
      <c r="CY19" s="27">
        <f t="shared" si="14"/>
        <v>0</v>
      </c>
      <c r="CZ19" s="27">
        <f t="shared" si="21"/>
        <v>0</v>
      </c>
      <c r="DA19" s="27">
        <f t="shared" si="21"/>
        <v>0</v>
      </c>
      <c r="DB19" s="27">
        <f t="shared" si="21"/>
        <v>0</v>
      </c>
      <c r="DC19" s="27">
        <f t="shared" si="16"/>
        <v>0</v>
      </c>
      <c r="DD19" s="27">
        <f t="shared" si="16"/>
        <v>0</v>
      </c>
      <c r="DE19" s="27">
        <f t="shared" si="16"/>
        <v>0</v>
      </c>
      <c r="DF19" s="27">
        <f t="shared" si="22"/>
        <v>0</v>
      </c>
      <c r="DG19" s="27">
        <f t="shared" si="22"/>
        <v>0</v>
      </c>
      <c r="DH19" s="27">
        <f t="shared" si="22"/>
        <v>0</v>
      </c>
      <c r="DI19" s="27"/>
      <c r="DJ19" s="27">
        <f t="shared" si="23"/>
        <v>0</v>
      </c>
      <c r="DK19" s="27">
        <f t="shared" si="23"/>
        <v>0</v>
      </c>
      <c r="DL19" s="27">
        <f t="shared" si="23"/>
        <v>21000000</v>
      </c>
    </row>
    <row r="20" spans="1:118" s="50" customFormat="1" ht="22.5" customHeight="1" thickBot="1" x14ac:dyDescent="0.3">
      <c r="A20" s="42"/>
      <c r="B20" s="232" t="s">
        <v>84</v>
      </c>
      <c r="C20" s="233"/>
      <c r="D20" s="233"/>
      <c r="E20" s="234"/>
      <c r="F20" s="43"/>
      <c r="G20" s="44">
        <f t="shared" ref="G20:W20" si="24">SUM(G4:G19)</f>
        <v>1381230977</v>
      </c>
      <c r="H20" s="44">
        <f t="shared" si="24"/>
        <v>0</v>
      </c>
      <c r="I20" s="44">
        <f t="shared" si="24"/>
        <v>0</v>
      </c>
      <c r="J20" s="44">
        <f t="shared" si="24"/>
        <v>450000000</v>
      </c>
      <c r="K20" s="44">
        <f t="shared" si="24"/>
        <v>0</v>
      </c>
      <c r="L20" s="44">
        <f t="shared" si="24"/>
        <v>749568554</v>
      </c>
      <c r="M20" s="44">
        <f t="shared" si="24"/>
        <v>14004396</v>
      </c>
      <c r="N20" s="44">
        <f t="shared" si="24"/>
        <v>0</v>
      </c>
      <c r="O20" s="44">
        <f t="shared" si="24"/>
        <v>0</v>
      </c>
      <c r="P20" s="44">
        <f t="shared" si="24"/>
        <v>0</v>
      </c>
      <c r="Q20" s="44">
        <f t="shared" si="24"/>
        <v>0</v>
      </c>
      <c r="R20" s="44">
        <f t="shared" si="24"/>
        <v>0</v>
      </c>
      <c r="S20" s="44">
        <f t="shared" si="24"/>
        <v>0</v>
      </c>
      <c r="T20" s="44">
        <f t="shared" si="24"/>
        <v>30431446</v>
      </c>
      <c r="U20" s="44">
        <f t="shared" si="24"/>
        <v>1796640</v>
      </c>
      <c r="V20" s="44">
        <f t="shared" si="24"/>
        <v>0</v>
      </c>
      <c r="W20" s="44">
        <f t="shared" si="24"/>
        <v>0</v>
      </c>
      <c r="X20" s="44"/>
      <c r="Y20" s="44">
        <f>SUM(Y4:Y19)</f>
        <v>0</v>
      </c>
      <c r="Z20" s="44">
        <f>SUM(Z4:Z19)</f>
        <v>0</v>
      </c>
      <c r="AA20" s="44">
        <f>SUM(AA4:AA19)</f>
        <v>135429941</v>
      </c>
      <c r="AB20" s="45"/>
      <c r="AC20" s="46">
        <f t="shared" si="1"/>
        <v>0.57024378696655886</v>
      </c>
      <c r="AD20" s="47">
        <f>SUM(AD4:AD19)</f>
        <v>787638383</v>
      </c>
      <c r="AE20" s="47"/>
      <c r="AF20" s="47">
        <f t="shared" ref="AF20:AX20" si="25">SUM(AF4:AF19)</f>
        <v>0</v>
      </c>
      <c r="AG20" s="47">
        <f t="shared" si="25"/>
        <v>50285937</v>
      </c>
      <c r="AH20" s="47">
        <f t="shared" si="25"/>
        <v>0</v>
      </c>
      <c r="AI20" s="47">
        <f t="shared" si="25"/>
        <v>639621937</v>
      </c>
      <c r="AJ20" s="47">
        <f t="shared" si="25"/>
        <v>14004396</v>
      </c>
      <c r="AK20" s="47">
        <f t="shared" si="25"/>
        <v>0</v>
      </c>
      <c r="AL20" s="47">
        <f t="shared" si="25"/>
        <v>0</v>
      </c>
      <c r="AM20" s="47">
        <f t="shared" si="25"/>
        <v>0</v>
      </c>
      <c r="AN20" s="47">
        <f t="shared" si="25"/>
        <v>0</v>
      </c>
      <c r="AO20" s="47">
        <f t="shared" si="25"/>
        <v>0</v>
      </c>
      <c r="AP20" s="47">
        <f t="shared" si="25"/>
        <v>0</v>
      </c>
      <c r="AQ20" s="47">
        <f t="shared" si="25"/>
        <v>22867435</v>
      </c>
      <c r="AR20" s="47">
        <f t="shared" si="25"/>
        <v>1796640</v>
      </c>
      <c r="AS20" s="47">
        <f t="shared" si="25"/>
        <v>0</v>
      </c>
      <c r="AT20" s="47">
        <f t="shared" si="25"/>
        <v>0</v>
      </c>
      <c r="AU20" s="47">
        <f t="shared" si="25"/>
        <v>0</v>
      </c>
      <c r="AV20" s="47">
        <f t="shared" si="25"/>
        <v>0</v>
      </c>
      <c r="AW20" s="47">
        <f t="shared" si="25"/>
        <v>0</v>
      </c>
      <c r="AX20" s="47">
        <f t="shared" si="25"/>
        <v>59062038</v>
      </c>
      <c r="AY20" s="48">
        <f t="shared" si="3"/>
        <v>0.42975621303344114</v>
      </c>
      <c r="AZ20" s="47">
        <f t="shared" ref="AZ20:BP20" si="26">SUM(AZ4:AZ19)</f>
        <v>593592594</v>
      </c>
      <c r="BA20" s="47">
        <f t="shared" si="26"/>
        <v>0</v>
      </c>
      <c r="BB20" s="47">
        <f t="shared" si="26"/>
        <v>0</v>
      </c>
      <c r="BC20" s="47">
        <f t="shared" si="26"/>
        <v>399714063</v>
      </c>
      <c r="BD20" s="47">
        <f t="shared" si="26"/>
        <v>0</v>
      </c>
      <c r="BE20" s="47">
        <f t="shared" si="26"/>
        <v>109946617</v>
      </c>
      <c r="BF20" s="47">
        <f t="shared" si="26"/>
        <v>0</v>
      </c>
      <c r="BG20" s="47">
        <f t="shared" si="26"/>
        <v>0</v>
      </c>
      <c r="BH20" s="47">
        <f t="shared" si="26"/>
        <v>0</v>
      </c>
      <c r="BI20" s="47">
        <f t="shared" si="26"/>
        <v>0</v>
      </c>
      <c r="BJ20" s="47">
        <f t="shared" si="26"/>
        <v>0</v>
      </c>
      <c r="BK20" s="47">
        <f t="shared" si="26"/>
        <v>0</v>
      </c>
      <c r="BL20" s="47">
        <f t="shared" si="26"/>
        <v>0</v>
      </c>
      <c r="BM20" s="47">
        <f t="shared" si="26"/>
        <v>7564011</v>
      </c>
      <c r="BN20" s="47">
        <f t="shared" si="26"/>
        <v>0</v>
      </c>
      <c r="BO20" s="47">
        <f t="shared" si="26"/>
        <v>0</v>
      </c>
      <c r="BP20" s="47">
        <f t="shared" si="26"/>
        <v>0</v>
      </c>
      <c r="BQ20" s="47"/>
      <c r="BR20" s="47">
        <f>SUM(BR4:BR19)</f>
        <v>0</v>
      </c>
      <c r="BS20" s="47">
        <f>SUM(BS4:BS19)</f>
        <v>0</v>
      </c>
      <c r="BT20" s="47">
        <f>SUM(BT4:BT19)</f>
        <v>76367903</v>
      </c>
      <c r="BU20" s="48">
        <f t="shared" si="10"/>
        <v>0.44610705034890047</v>
      </c>
      <c r="BV20" s="47">
        <f t="shared" ref="BV20:CL20" si="27">SUM(BV4:BV19)</f>
        <v>616176877</v>
      </c>
      <c r="BW20" s="47">
        <f t="shared" si="27"/>
        <v>0</v>
      </c>
      <c r="BX20" s="47">
        <f t="shared" si="27"/>
        <v>0</v>
      </c>
      <c r="BY20" s="47">
        <f t="shared" si="27"/>
        <v>50285937</v>
      </c>
      <c r="BZ20" s="47">
        <f t="shared" si="27"/>
        <v>0</v>
      </c>
      <c r="CA20" s="47">
        <f t="shared" si="27"/>
        <v>469778031</v>
      </c>
      <c r="CB20" s="47">
        <f t="shared" si="27"/>
        <v>14004396</v>
      </c>
      <c r="CC20" s="47">
        <f t="shared" si="27"/>
        <v>0</v>
      </c>
      <c r="CD20" s="47">
        <f t="shared" si="27"/>
        <v>0</v>
      </c>
      <c r="CE20" s="47">
        <f t="shared" si="27"/>
        <v>0</v>
      </c>
      <c r="CF20" s="47">
        <f t="shared" si="27"/>
        <v>0</v>
      </c>
      <c r="CG20" s="47">
        <f t="shared" si="27"/>
        <v>0</v>
      </c>
      <c r="CH20" s="47">
        <f t="shared" si="27"/>
        <v>0</v>
      </c>
      <c r="CI20" s="47">
        <f t="shared" si="27"/>
        <v>22856903</v>
      </c>
      <c r="CJ20" s="47">
        <f t="shared" si="27"/>
        <v>1796640</v>
      </c>
      <c r="CK20" s="47">
        <f t="shared" si="27"/>
        <v>0</v>
      </c>
      <c r="CL20" s="47">
        <f t="shared" si="27"/>
        <v>0</v>
      </c>
      <c r="CM20" s="47"/>
      <c r="CN20" s="47">
        <f>SUM(CN4:CN19)</f>
        <v>0</v>
      </c>
      <c r="CO20" s="47">
        <f>SUM(CO4:CO19)</f>
        <v>0</v>
      </c>
      <c r="CP20" s="47">
        <f>SUM(CP4:CP19)</f>
        <v>57454970</v>
      </c>
      <c r="CQ20" s="48">
        <f t="shared" si="12"/>
        <v>0.55389294965109959</v>
      </c>
      <c r="CR20" s="47">
        <f t="shared" ref="CR20:DL20" si="28">SUM(CR4:CR19)</f>
        <v>765054100</v>
      </c>
      <c r="CS20" s="47">
        <f t="shared" si="28"/>
        <v>0</v>
      </c>
      <c r="CT20" s="47">
        <f t="shared" si="28"/>
        <v>0</v>
      </c>
      <c r="CU20" s="47">
        <f t="shared" si="28"/>
        <v>399714063</v>
      </c>
      <c r="CV20" s="47">
        <f t="shared" si="28"/>
        <v>0</v>
      </c>
      <c r="CW20" s="47">
        <f t="shared" si="28"/>
        <v>279790523</v>
      </c>
      <c r="CX20" s="47">
        <f t="shared" si="28"/>
        <v>0</v>
      </c>
      <c r="CY20" s="47">
        <f t="shared" si="28"/>
        <v>0</v>
      </c>
      <c r="CZ20" s="47">
        <f t="shared" si="28"/>
        <v>0</v>
      </c>
      <c r="DA20" s="47">
        <f t="shared" si="28"/>
        <v>0</v>
      </c>
      <c r="DB20" s="47">
        <f t="shared" si="28"/>
        <v>0</v>
      </c>
      <c r="DC20" s="47">
        <f t="shared" si="28"/>
        <v>0</v>
      </c>
      <c r="DD20" s="47">
        <f t="shared" si="28"/>
        <v>0</v>
      </c>
      <c r="DE20" s="47">
        <f t="shared" si="28"/>
        <v>7574543</v>
      </c>
      <c r="DF20" s="47">
        <f t="shared" si="28"/>
        <v>0</v>
      </c>
      <c r="DG20" s="47">
        <f t="shared" si="28"/>
        <v>0</v>
      </c>
      <c r="DH20" s="47">
        <f t="shared" si="28"/>
        <v>0</v>
      </c>
      <c r="DI20" s="47">
        <f t="shared" si="28"/>
        <v>0</v>
      </c>
      <c r="DJ20" s="47">
        <f t="shared" si="28"/>
        <v>0</v>
      </c>
      <c r="DK20" s="47">
        <f t="shared" si="28"/>
        <v>0</v>
      </c>
      <c r="DL20" s="49">
        <f t="shared" si="28"/>
        <v>77974971</v>
      </c>
    </row>
    <row r="21" spans="1:118" ht="29.25" customHeight="1" thickTop="1" x14ac:dyDescent="0.25">
      <c r="A21" s="22" t="s">
        <v>85</v>
      </c>
      <c r="B21" s="235" t="s">
        <v>86</v>
      </c>
      <c r="C21" s="23" t="s">
        <v>87</v>
      </c>
      <c r="D21" s="24" t="s">
        <v>88</v>
      </c>
      <c r="E21" s="25">
        <v>410</v>
      </c>
      <c r="F21" s="51" t="s">
        <v>89</v>
      </c>
      <c r="G21" s="27">
        <f t="shared" ref="G21:G57" si="29">SUM(H21:AA21)</f>
        <v>450000000</v>
      </c>
      <c r="H21" s="52"/>
      <c r="I21" s="52"/>
      <c r="J21" s="27">
        <v>450000000</v>
      </c>
      <c r="K21" s="53"/>
      <c r="L21" s="27"/>
      <c r="M21" s="52"/>
      <c r="N21" s="53"/>
      <c r="O21" s="53"/>
      <c r="P21" s="53"/>
      <c r="Q21" s="53"/>
      <c r="R21" s="54"/>
      <c r="S21" s="53"/>
      <c r="T21" s="53"/>
      <c r="U21" s="53"/>
      <c r="V21" s="53"/>
      <c r="W21" s="53"/>
      <c r="X21" s="53"/>
      <c r="Y21" s="53"/>
      <c r="Z21" s="53"/>
      <c r="AA21" s="53"/>
      <c r="AC21" s="55">
        <f t="shared" si="1"/>
        <v>0.28551611555555556</v>
      </c>
      <c r="AD21" s="27">
        <f t="shared" ref="AD21:AD57" si="30">SUM(AE21:AX21)</f>
        <v>128482252</v>
      </c>
      <c r="AE21" s="27"/>
      <c r="AF21" s="27"/>
      <c r="AG21" s="27">
        <f>+'[1]JUNIO 2016'!$M$713</f>
        <v>128482252</v>
      </c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9">
        <f t="shared" si="3"/>
        <v>0.71448388444444444</v>
      </c>
      <c r="AZ21" s="27">
        <f t="shared" ref="AZ21:AZ57" si="31">SUM(BA21:BT21)</f>
        <v>321517748</v>
      </c>
      <c r="BA21" s="27">
        <f t="shared" ref="BA21:BA57" si="32">+H21</f>
        <v>0</v>
      </c>
      <c r="BB21" s="27">
        <f t="shared" ref="BB21:BP57" si="33">I21-AF21</f>
        <v>0</v>
      </c>
      <c r="BC21" s="27">
        <f t="shared" si="33"/>
        <v>321517748</v>
      </c>
      <c r="BD21" s="27">
        <f t="shared" si="33"/>
        <v>0</v>
      </c>
      <c r="BE21" s="27">
        <f t="shared" ref="BE21:BP35" si="34">+L21-AI21</f>
        <v>0</v>
      </c>
      <c r="BF21" s="27">
        <f t="shared" si="34"/>
        <v>0</v>
      </c>
      <c r="BG21" s="27">
        <f t="shared" si="34"/>
        <v>0</v>
      </c>
      <c r="BH21" s="27">
        <f t="shared" si="34"/>
        <v>0</v>
      </c>
      <c r="BI21" s="27">
        <f t="shared" si="34"/>
        <v>0</v>
      </c>
      <c r="BJ21" s="27">
        <f t="shared" si="34"/>
        <v>0</v>
      </c>
      <c r="BK21" s="27">
        <f t="shared" si="34"/>
        <v>0</v>
      </c>
      <c r="BL21" s="27">
        <f t="shared" si="34"/>
        <v>0</v>
      </c>
      <c r="BM21" s="27">
        <f t="shared" si="34"/>
        <v>0</v>
      </c>
      <c r="BN21" s="27">
        <f t="shared" si="34"/>
        <v>0</v>
      </c>
      <c r="BO21" s="27">
        <f t="shared" si="34"/>
        <v>0</v>
      </c>
      <c r="BP21" s="27">
        <f t="shared" si="34"/>
        <v>0</v>
      </c>
      <c r="BQ21" s="27"/>
      <c r="BR21" s="27"/>
      <c r="BS21" s="27"/>
      <c r="BT21" s="27">
        <f t="shared" ref="BT21:BT35" si="35">+AA21-AX21</f>
        <v>0</v>
      </c>
      <c r="BU21" s="29">
        <f t="shared" si="10"/>
        <v>0.13826968000000001</v>
      </c>
      <c r="BV21" s="27">
        <f t="shared" ref="BV21:BV57" si="36">SUM(BW21:CP21)</f>
        <v>62221356</v>
      </c>
      <c r="BW21" s="27"/>
      <c r="BX21" s="27"/>
      <c r="BY21" s="27">
        <f>+'[1]JUNIO 2016'!$H$711</f>
        <v>62221356</v>
      </c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9">
        <f t="shared" si="12"/>
        <v>0.86173031999999994</v>
      </c>
      <c r="CR21" s="27">
        <f t="shared" ref="CR21:CR57" si="37">SUM(CS21:DL21)</f>
        <v>387778644</v>
      </c>
      <c r="CS21" s="27">
        <f t="shared" ref="CS21:CY57" si="38">H21-BW21</f>
        <v>0</v>
      </c>
      <c r="CT21" s="27">
        <f t="shared" si="38"/>
        <v>0</v>
      </c>
      <c r="CU21" s="27">
        <f t="shared" si="38"/>
        <v>387778644</v>
      </c>
      <c r="CV21" s="27">
        <f t="shared" si="38"/>
        <v>0</v>
      </c>
      <c r="CW21" s="27">
        <f t="shared" si="38"/>
        <v>0</v>
      </c>
      <c r="CX21" s="27">
        <f t="shared" si="38"/>
        <v>0</v>
      </c>
      <c r="CY21" s="27">
        <f t="shared" si="38"/>
        <v>0</v>
      </c>
      <c r="CZ21" s="27">
        <f t="shared" ref="CZ21:DB35" si="39">+O21-CD21</f>
        <v>0</v>
      </c>
      <c r="DA21" s="27">
        <f t="shared" si="39"/>
        <v>0</v>
      </c>
      <c r="DB21" s="27">
        <f t="shared" si="39"/>
        <v>0</v>
      </c>
      <c r="DC21" s="27">
        <f t="shared" ref="DC21:DH45" si="40">R21-CG21</f>
        <v>0</v>
      </c>
      <c r="DD21" s="27">
        <f t="shared" si="40"/>
        <v>0</v>
      </c>
      <c r="DE21" s="27">
        <f t="shared" si="40"/>
        <v>0</v>
      </c>
      <c r="DF21" s="27">
        <f t="shared" ref="DF21:DH29" si="41">+U21-CJ21</f>
        <v>0</v>
      </c>
      <c r="DG21" s="27">
        <f t="shared" si="41"/>
        <v>0</v>
      </c>
      <c r="DH21" s="27">
        <f t="shared" si="41"/>
        <v>0</v>
      </c>
      <c r="DI21" s="27"/>
      <c r="DJ21" s="27">
        <f t="shared" ref="DJ21:DL29" si="42">+Y21-CN21</f>
        <v>0</v>
      </c>
      <c r="DK21" s="27">
        <f t="shared" si="42"/>
        <v>0</v>
      </c>
      <c r="DL21" s="27">
        <f t="shared" si="42"/>
        <v>0</v>
      </c>
    </row>
    <row r="22" spans="1:118" ht="30.75" customHeight="1" x14ac:dyDescent="0.25">
      <c r="A22" s="34"/>
      <c r="B22" s="230"/>
      <c r="C22" s="23" t="s">
        <v>90</v>
      </c>
      <c r="D22" s="24" t="s">
        <v>91</v>
      </c>
      <c r="E22" s="25">
        <v>410</v>
      </c>
      <c r="F22" s="26" t="s">
        <v>89</v>
      </c>
      <c r="G22" s="27">
        <f t="shared" si="29"/>
        <v>150000000</v>
      </c>
      <c r="H22" s="27"/>
      <c r="I22" s="27"/>
      <c r="J22" s="27">
        <v>150000000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C22" s="29">
        <f t="shared" si="1"/>
        <v>0.33333333333333331</v>
      </c>
      <c r="AD22" s="27">
        <f t="shared" si="30"/>
        <v>50000000</v>
      </c>
      <c r="AE22" s="27"/>
      <c r="AF22" s="27"/>
      <c r="AG22" s="27">
        <f>+'[5]ENERO 2016'!$M$253</f>
        <v>50000000</v>
      </c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9">
        <f t="shared" si="3"/>
        <v>0.66666666666666674</v>
      </c>
      <c r="AZ22" s="27">
        <f t="shared" si="31"/>
        <v>100000000</v>
      </c>
      <c r="BA22" s="27">
        <f t="shared" si="32"/>
        <v>0</v>
      </c>
      <c r="BB22" s="27">
        <f t="shared" si="33"/>
        <v>0</v>
      </c>
      <c r="BC22" s="27">
        <f t="shared" si="33"/>
        <v>100000000</v>
      </c>
      <c r="BD22" s="27">
        <f t="shared" si="33"/>
        <v>0</v>
      </c>
      <c r="BE22" s="27">
        <f t="shared" si="34"/>
        <v>0</v>
      </c>
      <c r="BF22" s="27">
        <f t="shared" si="34"/>
        <v>0</v>
      </c>
      <c r="BG22" s="27">
        <f t="shared" si="34"/>
        <v>0</v>
      </c>
      <c r="BH22" s="27">
        <f t="shared" si="34"/>
        <v>0</v>
      </c>
      <c r="BI22" s="27">
        <f t="shared" si="34"/>
        <v>0</v>
      </c>
      <c r="BJ22" s="27">
        <f t="shared" si="34"/>
        <v>0</v>
      </c>
      <c r="BK22" s="27">
        <f t="shared" si="34"/>
        <v>0</v>
      </c>
      <c r="BL22" s="27">
        <f t="shared" si="34"/>
        <v>0</v>
      </c>
      <c r="BM22" s="27">
        <f t="shared" si="34"/>
        <v>0</v>
      </c>
      <c r="BN22" s="27">
        <f t="shared" si="34"/>
        <v>0</v>
      </c>
      <c r="BO22" s="27">
        <f t="shared" si="34"/>
        <v>0</v>
      </c>
      <c r="BP22" s="27">
        <f t="shared" si="34"/>
        <v>0</v>
      </c>
      <c r="BQ22" s="27"/>
      <c r="BR22" s="27"/>
      <c r="BS22" s="27"/>
      <c r="BT22" s="27">
        <f t="shared" si="35"/>
        <v>0</v>
      </c>
      <c r="BU22" s="29">
        <f t="shared" si="10"/>
        <v>0.32020326666666665</v>
      </c>
      <c r="BV22" s="27">
        <f t="shared" si="36"/>
        <v>48030490</v>
      </c>
      <c r="BW22" s="27"/>
      <c r="BX22" s="27"/>
      <c r="BY22" s="27">
        <f>+'[2]MARZO 2016 ULTIMO'!$H$419</f>
        <v>48030490</v>
      </c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9">
        <f t="shared" si="12"/>
        <v>0.67979673333333335</v>
      </c>
      <c r="CR22" s="27">
        <f t="shared" si="37"/>
        <v>101969510</v>
      </c>
      <c r="CS22" s="27">
        <f t="shared" si="38"/>
        <v>0</v>
      </c>
      <c r="CT22" s="27">
        <f t="shared" si="38"/>
        <v>0</v>
      </c>
      <c r="CU22" s="27">
        <f t="shared" si="38"/>
        <v>101969510</v>
      </c>
      <c r="CV22" s="27">
        <f t="shared" si="38"/>
        <v>0</v>
      </c>
      <c r="CW22" s="27">
        <f t="shared" si="38"/>
        <v>0</v>
      </c>
      <c r="CX22" s="27">
        <f t="shared" si="38"/>
        <v>0</v>
      </c>
      <c r="CY22" s="27">
        <f t="shared" si="38"/>
        <v>0</v>
      </c>
      <c r="CZ22" s="27">
        <f t="shared" si="39"/>
        <v>0</v>
      </c>
      <c r="DA22" s="27">
        <f t="shared" si="39"/>
        <v>0</v>
      </c>
      <c r="DB22" s="27">
        <f t="shared" si="39"/>
        <v>0</v>
      </c>
      <c r="DC22" s="27">
        <f t="shared" si="40"/>
        <v>0</v>
      </c>
      <c r="DD22" s="27">
        <f t="shared" si="40"/>
        <v>0</v>
      </c>
      <c r="DE22" s="27">
        <f t="shared" si="40"/>
        <v>0</v>
      </c>
      <c r="DF22" s="27">
        <f t="shared" si="41"/>
        <v>0</v>
      </c>
      <c r="DG22" s="27">
        <f t="shared" si="41"/>
        <v>0</v>
      </c>
      <c r="DH22" s="27">
        <f t="shared" si="41"/>
        <v>0</v>
      </c>
      <c r="DI22" s="27"/>
      <c r="DJ22" s="27">
        <f t="shared" si="42"/>
        <v>0</v>
      </c>
      <c r="DK22" s="27">
        <f t="shared" si="42"/>
        <v>0</v>
      </c>
      <c r="DL22" s="27">
        <f t="shared" si="42"/>
        <v>0</v>
      </c>
    </row>
    <row r="23" spans="1:118" ht="19.5" customHeight="1" x14ac:dyDescent="0.25">
      <c r="A23" s="34"/>
      <c r="B23" s="231"/>
      <c r="C23" s="23" t="s">
        <v>92</v>
      </c>
      <c r="D23" s="24" t="s">
        <v>93</v>
      </c>
      <c r="E23" s="25">
        <v>410</v>
      </c>
      <c r="F23" s="26" t="s">
        <v>89</v>
      </c>
      <c r="G23" s="27">
        <f t="shared" si="29"/>
        <v>200000000</v>
      </c>
      <c r="H23" s="27"/>
      <c r="I23" s="27"/>
      <c r="J23" s="27">
        <v>200000000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C23" s="29">
        <f t="shared" si="1"/>
        <v>1</v>
      </c>
      <c r="AD23" s="27">
        <f t="shared" si="30"/>
        <v>200000000</v>
      </c>
      <c r="AE23" s="27"/>
      <c r="AF23" s="27"/>
      <c r="AG23" s="27">
        <f>+'[5]ENERO 2016'!$M$259</f>
        <v>200000000</v>
      </c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9">
        <f t="shared" si="3"/>
        <v>0</v>
      </c>
      <c r="AZ23" s="27">
        <f t="shared" si="31"/>
        <v>0</v>
      </c>
      <c r="BA23" s="27">
        <f t="shared" si="32"/>
        <v>0</v>
      </c>
      <c r="BB23" s="27">
        <f t="shared" si="33"/>
        <v>0</v>
      </c>
      <c r="BC23" s="27">
        <f t="shared" si="33"/>
        <v>0</v>
      </c>
      <c r="BD23" s="27">
        <f t="shared" si="33"/>
        <v>0</v>
      </c>
      <c r="BE23" s="27">
        <f t="shared" si="34"/>
        <v>0</v>
      </c>
      <c r="BF23" s="27">
        <f t="shared" si="34"/>
        <v>0</v>
      </c>
      <c r="BG23" s="27">
        <f t="shared" si="34"/>
        <v>0</v>
      </c>
      <c r="BH23" s="27">
        <f t="shared" si="34"/>
        <v>0</v>
      </c>
      <c r="BI23" s="27">
        <f t="shared" si="34"/>
        <v>0</v>
      </c>
      <c r="BJ23" s="27">
        <f t="shared" si="34"/>
        <v>0</v>
      </c>
      <c r="BK23" s="27">
        <f t="shared" si="34"/>
        <v>0</v>
      </c>
      <c r="BL23" s="27">
        <f t="shared" si="34"/>
        <v>0</v>
      </c>
      <c r="BM23" s="27">
        <f t="shared" si="34"/>
        <v>0</v>
      </c>
      <c r="BN23" s="27">
        <f t="shared" si="34"/>
        <v>0</v>
      </c>
      <c r="BO23" s="27">
        <f t="shared" si="34"/>
        <v>0</v>
      </c>
      <c r="BP23" s="27">
        <f t="shared" si="34"/>
        <v>0</v>
      </c>
      <c r="BQ23" s="27"/>
      <c r="BR23" s="27"/>
      <c r="BS23" s="27"/>
      <c r="BT23" s="27">
        <f t="shared" si="35"/>
        <v>0</v>
      </c>
      <c r="BU23" s="29">
        <f t="shared" si="10"/>
        <v>0.64663207499999997</v>
      </c>
      <c r="BV23" s="27">
        <f t="shared" si="36"/>
        <v>129326415</v>
      </c>
      <c r="BW23" s="27"/>
      <c r="BX23" s="27"/>
      <c r="BY23" s="27">
        <f>+'[1]JUNIO 2016'!$H$732</f>
        <v>129326415</v>
      </c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9">
        <f t="shared" si="12"/>
        <v>0.35336792500000003</v>
      </c>
      <c r="CR23" s="27">
        <f t="shared" si="37"/>
        <v>70673585</v>
      </c>
      <c r="CS23" s="27">
        <f t="shared" si="38"/>
        <v>0</v>
      </c>
      <c r="CT23" s="27">
        <f t="shared" si="38"/>
        <v>0</v>
      </c>
      <c r="CU23" s="27">
        <f t="shared" si="38"/>
        <v>70673585</v>
      </c>
      <c r="CV23" s="27">
        <f t="shared" si="38"/>
        <v>0</v>
      </c>
      <c r="CW23" s="27">
        <f t="shared" si="38"/>
        <v>0</v>
      </c>
      <c r="CX23" s="27">
        <f t="shared" si="38"/>
        <v>0</v>
      </c>
      <c r="CY23" s="27">
        <f t="shared" si="38"/>
        <v>0</v>
      </c>
      <c r="CZ23" s="27">
        <f t="shared" si="39"/>
        <v>0</v>
      </c>
      <c r="DA23" s="27">
        <f t="shared" si="39"/>
        <v>0</v>
      </c>
      <c r="DB23" s="27">
        <f t="shared" si="39"/>
        <v>0</v>
      </c>
      <c r="DC23" s="27">
        <f t="shared" si="40"/>
        <v>0</v>
      </c>
      <c r="DD23" s="27">
        <f t="shared" si="40"/>
        <v>0</v>
      </c>
      <c r="DE23" s="27">
        <f t="shared" si="40"/>
        <v>0</v>
      </c>
      <c r="DF23" s="27">
        <f t="shared" si="41"/>
        <v>0</v>
      </c>
      <c r="DG23" s="27">
        <f t="shared" si="41"/>
        <v>0</v>
      </c>
      <c r="DH23" s="27">
        <f t="shared" si="41"/>
        <v>0</v>
      </c>
      <c r="DI23" s="27"/>
      <c r="DJ23" s="27">
        <f t="shared" si="42"/>
        <v>0</v>
      </c>
      <c r="DK23" s="27">
        <f t="shared" si="42"/>
        <v>0</v>
      </c>
      <c r="DL23" s="27">
        <f t="shared" si="42"/>
        <v>0</v>
      </c>
    </row>
    <row r="24" spans="1:118" ht="24" customHeight="1" x14ac:dyDescent="0.25">
      <c r="A24" s="34"/>
      <c r="B24" s="229" t="s">
        <v>94</v>
      </c>
      <c r="C24" s="56" t="s">
        <v>95</v>
      </c>
      <c r="D24" s="24" t="s">
        <v>96</v>
      </c>
      <c r="E24" s="25">
        <v>410</v>
      </c>
      <c r="F24" s="26" t="s">
        <v>89</v>
      </c>
      <c r="G24" s="27">
        <f t="shared" si="29"/>
        <v>10000000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>
        <v>10000000</v>
      </c>
      <c r="W24" s="27"/>
      <c r="X24" s="27"/>
      <c r="Y24" s="27"/>
      <c r="Z24" s="27"/>
      <c r="AA24" s="27"/>
      <c r="AC24" s="29">
        <f t="shared" si="1"/>
        <v>0</v>
      </c>
      <c r="AD24" s="27">
        <f t="shared" si="30"/>
        <v>0</v>
      </c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9">
        <f t="shared" si="3"/>
        <v>1</v>
      </c>
      <c r="AZ24" s="27">
        <f t="shared" si="31"/>
        <v>10000000</v>
      </c>
      <c r="BA24" s="27">
        <f t="shared" si="32"/>
        <v>0</v>
      </c>
      <c r="BB24" s="27">
        <f t="shared" si="33"/>
        <v>0</v>
      </c>
      <c r="BC24" s="27">
        <f t="shared" si="33"/>
        <v>0</v>
      </c>
      <c r="BD24" s="27">
        <f t="shared" si="33"/>
        <v>0</v>
      </c>
      <c r="BE24" s="27">
        <f t="shared" si="34"/>
        <v>0</v>
      </c>
      <c r="BF24" s="27">
        <f t="shared" si="34"/>
        <v>0</v>
      </c>
      <c r="BG24" s="27">
        <f t="shared" si="34"/>
        <v>0</v>
      </c>
      <c r="BH24" s="27">
        <f t="shared" si="34"/>
        <v>0</v>
      </c>
      <c r="BI24" s="27">
        <f t="shared" si="34"/>
        <v>0</v>
      </c>
      <c r="BJ24" s="27">
        <f t="shared" si="34"/>
        <v>0</v>
      </c>
      <c r="BK24" s="27">
        <f t="shared" si="34"/>
        <v>0</v>
      </c>
      <c r="BL24" s="27">
        <f t="shared" si="34"/>
        <v>0</v>
      </c>
      <c r="BM24" s="27">
        <f t="shared" si="34"/>
        <v>0</v>
      </c>
      <c r="BN24" s="27">
        <f t="shared" si="34"/>
        <v>0</v>
      </c>
      <c r="BO24" s="27">
        <f t="shared" si="34"/>
        <v>10000000</v>
      </c>
      <c r="BP24" s="27">
        <f t="shared" si="34"/>
        <v>0</v>
      </c>
      <c r="BQ24" s="27"/>
      <c r="BR24" s="27"/>
      <c r="BS24" s="27"/>
      <c r="BT24" s="27">
        <f t="shared" si="35"/>
        <v>0</v>
      </c>
      <c r="BU24" s="29">
        <f t="shared" si="10"/>
        <v>0</v>
      </c>
      <c r="BV24" s="27">
        <f t="shared" si="36"/>
        <v>0</v>
      </c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9">
        <f t="shared" si="12"/>
        <v>1</v>
      </c>
      <c r="CR24" s="27">
        <f t="shared" si="37"/>
        <v>10000000</v>
      </c>
      <c r="CS24" s="27">
        <f t="shared" si="38"/>
        <v>0</v>
      </c>
      <c r="CT24" s="27">
        <f t="shared" si="38"/>
        <v>0</v>
      </c>
      <c r="CU24" s="27">
        <f t="shared" si="38"/>
        <v>0</v>
      </c>
      <c r="CV24" s="27">
        <f t="shared" si="38"/>
        <v>0</v>
      </c>
      <c r="CW24" s="27">
        <f t="shared" si="38"/>
        <v>0</v>
      </c>
      <c r="CX24" s="27">
        <f t="shared" si="38"/>
        <v>0</v>
      </c>
      <c r="CY24" s="27">
        <f t="shared" si="38"/>
        <v>0</v>
      </c>
      <c r="CZ24" s="27">
        <f t="shared" si="39"/>
        <v>0</v>
      </c>
      <c r="DA24" s="27">
        <f t="shared" si="39"/>
        <v>0</v>
      </c>
      <c r="DB24" s="27">
        <f t="shared" si="39"/>
        <v>0</v>
      </c>
      <c r="DC24" s="27">
        <f t="shared" si="40"/>
        <v>0</v>
      </c>
      <c r="DD24" s="27">
        <f t="shared" si="40"/>
        <v>0</v>
      </c>
      <c r="DE24" s="27">
        <f t="shared" si="40"/>
        <v>0</v>
      </c>
      <c r="DF24" s="27">
        <f t="shared" si="41"/>
        <v>0</v>
      </c>
      <c r="DG24" s="27">
        <f t="shared" si="41"/>
        <v>10000000</v>
      </c>
      <c r="DH24" s="27">
        <f t="shared" si="41"/>
        <v>0</v>
      </c>
      <c r="DI24" s="27"/>
      <c r="DJ24" s="27">
        <f t="shared" si="42"/>
        <v>0</v>
      </c>
      <c r="DK24" s="27">
        <f t="shared" si="42"/>
        <v>0</v>
      </c>
      <c r="DL24" s="27">
        <f t="shared" si="42"/>
        <v>0</v>
      </c>
    </row>
    <row r="25" spans="1:118" ht="24" customHeight="1" x14ac:dyDescent="0.25">
      <c r="A25" s="34"/>
      <c r="B25" s="230"/>
      <c r="C25" s="23" t="s">
        <v>97</v>
      </c>
      <c r="D25" s="24" t="s">
        <v>98</v>
      </c>
      <c r="E25" s="25">
        <v>410</v>
      </c>
      <c r="F25" s="26" t="s">
        <v>99</v>
      </c>
      <c r="G25" s="27">
        <f t="shared" si="29"/>
        <v>10000000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>
        <v>10000000</v>
      </c>
      <c r="W25" s="27"/>
      <c r="X25" s="27"/>
      <c r="Y25" s="27"/>
      <c r="Z25" s="27"/>
      <c r="AA25" s="27"/>
      <c r="AC25" s="29">
        <f t="shared" si="1"/>
        <v>1</v>
      </c>
      <c r="AD25" s="27">
        <f t="shared" si="30"/>
        <v>10000000</v>
      </c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>
        <f>+'[4]ABRIL 2016'!$Y$572</f>
        <v>10000000</v>
      </c>
      <c r="AT25" s="27"/>
      <c r="AU25" s="27"/>
      <c r="AV25" s="27"/>
      <c r="AW25" s="27"/>
      <c r="AX25" s="27"/>
      <c r="AY25" s="29">
        <f t="shared" si="3"/>
        <v>0</v>
      </c>
      <c r="AZ25" s="27">
        <f t="shared" si="31"/>
        <v>0</v>
      </c>
      <c r="BA25" s="27">
        <f t="shared" si="32"/>
        <v>0</v>
      </c>
      <c r="BB25" s="27">
        <f t="shared" si="33"/>
        <v>0</v>
      </c>
      <c r="BC25" s="27">
        <f t="shared" si="33"/>
        <v>0</v>
      </c>
      <c r="BD25" s="27">
        <f t="shared" si="33"/>
        <v>0</v>
      </c>
      <c r="BE25" s="27">
        <f t="shared" si="34"/>
        <v>0</v>
      </c>
      <c r="BF25" s="27">
        <f t="shared" si="34"/>
        <v>0</v>
      </c>
      <c r="BG25" s="27">
        <f t="shared" si="34"/>
        <v>0</v>
      </c>
      <c r="BH25" s="27">
        <f t="shared" si="34"/>
        <v>0</v>
      </c>
      <c r="BI25" s="27">
        <f t="shared" si="34"/>
        <v>0</v>
      </c>
      <c r="BJ25" s="27">
        <f t="shared" si="34"/>
        <v>0</v>
      </c>
      <c r="BK25" s="27">
        <f t="shared" si="34"/>
        <v>0</v>
      </c>
      <c r="BL25" s="27">
        <f t="shared" si="34"/>
        <v>0</v>
      </c>
      <c r="BM25" s="27">
        <f t="shared" si="34"/>
        <v>0</v>
      </c>
      <c r="BN25" s="27">
        <f t="shared" si="34"/>
        <v>0</v>
      </c>
      <c r="BO25" s="27">
        <f t="shared" si="34"/>
        <v>0</v>
      </c>
      <c r="BP25" s="27">
        <f t="shared" si="34"/>
        <v>0</v>
      </c>
      <c r="BQ25" s="27"/>
      <c r="BR25" s="27"/>
      <c r="BS25" s="27"/>
      <c r="BT25" s="27">
        <f t="shared" si="35"/>
        <v>0</v>
      </c>
      <c r="BU25" s="29">
        <f t="shared" si="10"/>
        <v>1</v>
      </c>
      <c r="BV25" s="27">
        <f t="shared" si="36"/>
        <v>10000000</v>
      </c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>
        <f>+'[4]ABRIL 2016'!$Y$572</f>
        <v>10000000</v>
      </c>
      <c r="CL25" s="27"/>
      <c r="CM25" s="27"/>
      <c r="CN25" s="27"/>
      <c r="CO25" s="27"/>
      <c r="CP25" s="27"/>
      <c r="CQ25" s="29">
        <f t="shared" si="12"/>
        <v>0</v>
      </c>
      <c r="CR25" s="27">
        <f t="shared" si="37"/>
        <v>0</v>
      </c>
      <c r="CS25" s="27">
        <f t="shared" si="38"/>
        <v>0</v>
      </c>
      <c r="CT25" s="27">
        <f t="shared" si="38"/>
        <v>0</v>
      </c>
      <c r="CU25" s="27">
        <f t="shared" si="38"/>
        <v>0</v>
      </c>
      <c r="CV25" s="27">
        <f t="shared" si="38"/>
        <v>0</v>
      </c>
      <c r="CW25" s="27">
        <f t="shared" si="38"/>
        <v>0</v>
      </c>
      <c r="CX25" s="27">
        <f t="shared" si="38"/>
        <v>0</v>
      </c>
      <c r="CY25" s="27">
        <f t="shared" si="38"/>
        <v>0</v>
      </c>
      <c r="CZ25" s="27">
        <f t="shared" si="39"/>
        <v>0</v>
      </c>
      <c r="DA25" s="27">
        <f t="shared" si="39"/>
        <v>0</v>
      </c>
      <c r="DB25" s="27">
        <f t="shared" si="39"/>
        <v>0</v>
      </c>
      <c r="DC25" s="27">
        <f t="shared" si="40"/>
        <v>0</v>
      </c>
      <c r="DD25" s="27">
        <f t="shared" si="40"/>
        <v>0</v>
      </c>
      <c r="DE25" s="27">
        <f t="shared" si="40"/>
        <v>0</v>
      </c>
      <c r="DF25" s="27">
        <f t="shared" si="41"/>
        <v>0</v>
      </c>
      <c r="DG25" s="27">
        <f t="shared" si="41"/>
        <v>0</v>
      </c>
      <c r="DH25" s="27">
        <f t="shared" si="41"/>
        <v>0</v>
      </c>
      <c r="DI25" s="27"/>
      <c r="DJ25" s="27">
        <f t="shared" si="42"/>
        <v>0</v>
      </c>
      <c r="DK25" s="27">
        <f t="shared" si="42"/>
        <v>0</v>
      </c>
      <c r="DL25" s="27">
        <f t="shared" si="42"/>
        <v>0</v>
      </c>
    </row>
    <row r="26" spans="1:118" ht="29.25" hidden="1" customHeight="1" x14ac:dyDescent="0.25">
      <c r="A26" s="34"/>
      <c r="B26" s="230"/>
      <c r="C26" s="23" t="s">
        <v>100</v>
      </c>
      <c r="D26" s="24" t="s">
        <v>101</v>
      </c>
      <c r="E26" s="25">
        <v>410</v>
      </c>
      <c r="F26" s="26" t="s">
        <v>99</v>
      </c>
      <c r="G26" s="27">
        <f t="shared" si="29"/>
        <v>0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>
        <f>20000000-20000000</f>
        <v>0</v>
      </c>
      <c r="W26" s="27"/>
      <c r="X26" s="27"/>
      <c r="Y26" s="27"/>
      <c r="Z26" s="27"/>
      <c r="AA26" s="27"/>
      <c r="AC26" s="29" t="e">
        <f t="shared" si="1"/>
        <v>#DIV/0!</v>
      </c>
      <c r="AD26" s="27">
        <f t="shared" si="30"/>
        <v>0</v>
      </c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9" t="e">
        <f t="shared" si="3"/>
        <v>#DIV/0!</v>
      </c>
      <c r="AZ26" s="27">
        <f t="shared" si="31"/>
        <v>0</v>
      </c>
      <c r="BA26" s="27">
        <f t="shared" si="32"/>
        <v>0</v>
      </c>
      <c r="BB26" s="27">
        <f t="shared" si="33"/>
        <v>0</v>
      </c>
      <c r="BC26" s="27">
        <f t="shared" si="33"/>
        <v>0</v>
      </c>
      <c r="BD26" s="27">
        <f t="shared" si="33"/>
        <v>0</v>
      </c>
      <c r="BE26" s="27">
        <f t="shared" si="34"/>
        <v>0</v>
      </c>
      <c r="BF26" s="27">
        <f t="shared" si="34"/>
        <v>0</v>
      </c>
      <c r="BG26" s="27">
        <f t="shared" si="34"/>
        <v>0</v>
      </c>
      <c r="BH26" s="27">
        <f t="shared" si="34"/>
        <v>0</v>
      </c>
      <c r="BI26" s="27">
        <f t="shared" si="34"/>
        <v>0</v>
      </c>
      <c r="BJ26" s="27">
        <f t="shared" si="34"/>
        <v>0</v>
      </c>
      <c r="BK26" s="27">
        <f t="shared" si="34"/>
        <v>0</v>
      </c>
      <c r="BL26" s="27">
        <f t="shared" si="34"/>
        <v>0</v>
      </c>
      <c r="BM26" s="27">
        <f t="shared" si="34"/>
        <v>0</v>
      </c>
      <c r="BN26" s="27">
        <f t="shared" si="34"/>
        <v>0</v>
      </c>
      <c r="BO26" s="27">
        <f t="shared" si="34"/>
        <v>0</v>
      </c>
      <c r="BP26" s="27">
        <f t="shared" si="34"/>
        <v>0</v>
      </c>
      <c r="BQ26" s="27"/>
      <c r="BR26" s="27"/>
      <c r="BS26" s="27"/>
      <c r="BT26" s="27">
        <f t="shared" si="35"/>
        <v>0</v>
      </c>
      <c r="BU26" s="29" t="e">
        <f t="shared" si="10"/>
        <v>#DIV/0!</v>
      </c>
      <c r="BV26" s="27">
        <f t="shared" si="36"/>
        <v>0</v>
      </c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9" t="e">
        <f t="shared" si="12"/>
        <v>#DIV/0!</v>
      </c>
      <c r="CR26" s="27">
        <f t="shared" si="37"/>
        <v>0</v>
      </c>
      <c r="CS26" s="27">
        <f t="shared" si="38"/>
        <v>0</v>
      </c>
      <c r="CT26" s="27">
        <f t="shared" si="38"/>
        <v>0</v>
      </c>
      <c r="CU26" s="27">
        <f t="shared" si="38"/>
        <v>0</v>
      </c>
      <c r="CV26" s="27">
        <f t="shared" si="38"/>
        <v>0</v>
      </c>
      <c r="CW26" s="27">
        <f t="shared" si="38"/>
        <v>0</v>
      </c>
      <c r="CX26" s="27">
        <f t="shared" si="38"/>
        <v>0</v>
      </c>
      <c r="CY26" s="27">
        <f t="shared" si="38"/>
        <v>0</v>
      </c>
      <c r="CZ26" s="27">
        <f t="shared" si="39"/>
        <v>0</v>
      </c>
      <c r="DA26" s="27">
        <f t="shared" si="39"/>
        <v>0</v>
      </c>
      <c r="DB26" s="27">
        <f t="shared" si="39"/>
        <v>0</v>
      </c>
      <c r="DC26" s="27">
        <f t="shared" si="40"/>
        <v>0</v>
      </c>
      <c r="DD26" s="27">
        <f t="shared" si="40"/>
        <v>0</v>
      </c>
      <c r="DE26" s="27">
        <f t="shared" si="40"/>
        <v>0</v>
      </c>
      <c r="DF26" s="27">
        <f t="shared" si="41"/>
        <v>0</v>
      </c>
      <c r="DG26" s="27">
        <f t="shared" si="41"/>
        <v>0</v>
      </c>
      <c r="DH26" s="27">
        <f t="shared" si="41"/>
        <v>0</v>
      </c>
      <c r="DI26" s="27"/>
      <c r="DJ26" s="27">
        <f t="shared" si="42"/>
        <v>0</v>
      </c>
      <c r="DK26" s="27">
        <f t="shared" si="42"/>
        <v>0</v>
      </c>
      <c r="DL26" s="27">
        <f t="shared" si="42"/>
        <v>0</v>
      </c>
    </row>
    <row r="27" spans="1:118" ht="36.75" customHeight="1" x14ac:dyDescent="0.25">
      <c r="A27" s="34"/>
      <c r="B27" s="230"/>
      <c r="C27" s="23" t="s">
        <v>102</v>
      </c>
      <c r="D27" s="24" t="s">
        <v>103</v>
      </c>
      <c r="E27" s="25">
        <v>410</v>
      </c>
      <c r="F27" s="26" t="s">
        <v>99</v>
      </c>
      <c r="G27" s="27">
        <f t="shared" si="29"/>
        <v>27000000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>
        <f>50000000-23000000</f>
        <v>27000000</v>
      </c>
      <c r="W27" s="27"/>
      <c r="X27" s="27"/>
      <c r="Y27" s="27"/>
      <c r="Z27" s="27"/>
      <c r="AA27" s="27"/>
      <c r="AC27" s="29">
        <f t="shared" si="1"/>
        <v>1</v>
      </c>
      <c r="AD27" s="27">
        <f t="shared" si="30"/>
        <v>27000000</v>
      </c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>
        <f>+'[4]ABRIL 2016'!$Y$585</f>
        <v>27000000</v>
      </c>
      <c r="AT27" s="27"/>
      <c r="AU27" s="27"/>
      <c r="AV27" s="27"/>
      <c r="AW27" s="27"/>
      <c r="AX27" s="27"/>
      <c r="AY27" s="29">
        <f t="shared" si="3"/>
        <v>0</v>
      </c>
      <c r="AZ27" s="27">
        <f t="shared" si="31"/>
        <v>0</v>
      </c>
      <c r="BA27" s="27">
        <f t="shared" si="32"/>
        <v>0</v>
      </c>
      <c r="BB27" s="27">
        <f t="shared" si="33"/>
        <v>0</v>
      </c>
      <c r="BC27" s="27">
        <f t="shared" si="33"/>
        <v>0</v>
      </c>
      <c r="BD27" s="27">
        <f t="shared" si="33"/>
        <v>0</v>
      </c>
      <c r="BE27" s="27">
        <f t="shared" si="34"/>
        <v>0</v>
      </c>
      <c r="BF27" s="27">
        <f t="shared" si="34"/>
        <v>0</v>
      </c>
      <c r="BG27" s="27">
        <f t="shared" si="34"/>
        <v>0</v>
      </c>
      <c r="BH27" s="27">
        <f t="shared" si="34"/>
        <v>0</v>
      </c>
      <c r="BI27" s="27">
        <f t="shared" si="34"/>
        <v>0</v>
      </c>
      <c r="BJ27" s="27">
        <f t="shared" si="34"/>
        <v>0</v>
      </c>
      <c r="BK27" s="27">
        <f t="shared" si="34"/>
        <v>0</v>
      </c>
      <c r="BL27" s="27">
        <f t="shared" si="34"/>
        <v>0</v>
      </c>
      <c r="BM27" s="27">
        <f t="shared" si="34"/>
        <v>0</v>
      </c>
      <c r="BN27" s="27">
        <f t="shared" si="34"/>
        <v>0</v>
      </c>
      <c r="BO27" s="27">
        <f t="shared" si="34"/>
        <v>0</v>
      </c>
      <c r="BP27" s="27">
        <f t="shared" si="34"/>
        <v>0</v>
      </c>
      <c r="BQ27" s="27"/>
      <c r="BR27" s="27"/>
      <c r="BS27" s="27"/>
      <c r="BT27" s="27">
        <f t="shared" si="35"/>
        <v>0</v>
      </c>
      <c r="BU27" s="29">
        <f t="shared" si="10"/>
        <v>0.57851851851851854</v>
      </c>
      <c r="BV27" s="27">
        <f t="shared" si="36"/>
        <v>15620000</v>
      </c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>
        <f>+'[1]JUNIO 2016'!$H$781</f>
        <v>15620000</v>
      </c>
      <c r="CL27" s="27"/>
      <c r="CM27" s="27"/>
      <c r="CN27" s="27"/>
      <c r="CO27" s="27"/>
      <c r="CP27" s="27"/>
      <c r="CQ27" s="29">
        <f t="shared" si="12"/>
        <v>0.42148148148148146</v>
      </c>
      <c r="CR27" s="27">
        <f t="shared" si="37"/>
        <v>11380000</v>
      </c>
      <c r="CS27" s="27">
        <f t="shared" si="38"/>
        <v>0</v>
      </c>
      <c r="CT27" s="27">
        <f t="shared" si="38"/>
        <v>0</v>
      </c>
      <c r="CU27" s="27">
        <f t="shared" si="38"/>
        <v>0</v>
      </c>
      <c r="CV27" s="27">
        <f t="shared" si="38"/>
        <v>0</v>
      </c>
      <c r="CW27" s="27">
        <f t="shared" si="38"/>
        <v>0</v>
      </c>
      <c r="CX27" s="27">
        <f t="shared" si="38"/>
        <v>0</v>
      </c>
      <c r="CY27" s="27">
        <f t="shared" si="38"/>
        <v>0</v>
      </c>
      <c r="CZ27" s="27">
        <f t="shared" si="39"/>
        <v>0</v>
      </c>
      <c r="DA27" s="27">
        <f t="shared" si="39"/>
        <v>0</v>
      </c>
      <c r="DB27" s="27">
        <f t="shared" si="39"/>
        <v>0</v>
      </c>
      <c r="DC27" s="27">
        <f t="shared" si="40"/>
        <v>0</v>
      </c>
      <c r="DD27" s="27">
        <f t="shared" si="40"/>
        <v>0</v>
      </c>
      <c r="DE27" s="27">
        <f t="shared" si="40"/>
        <v>0</v>
      </c>
      <c r="DF27" s="27">
        <f t="shared" si="41"/>
        <v>0</v>
      </c>
      <c r="DG27" s="27">
        <f t="shared" si="41"/>
        <v>11380000</v>
      </c>
      <c r="DH27" s="27">
        <f t="shared" si="41"/>
        <v>0</v>
      </c>
      <c r="DI27" s="27"/>
      <c r="DJ27" s="27">
        <f t="shared" si="42"/>
        <v>0</v>
      </c>
      <c r="DK27" s="27">
        <f t="shared" si="42"/>
        <v>0</v>
      </c>
      <c r="DL27" s="27">
        <f t="shared" si="42"/>
        <v>0</v>
      </c>
    </row>
    <row r="28" spans="1:118" ht="23.25" customHeight="1" x14ac:dyDescent="0.25">
      <c r="A28" s="34"/>
      <c r="B28" s="230"/>
      <c r="C28" s="23" t="s">
        <v>104</v>
      </c>
      <c r="D28" s="24" t="s">
        <v>105</v>
      </c>
      <c r="E28" s="25">
        <v>410</v>
      </c>
      <c r="F28" s="26" t="s">
        <v>106</v>
      </c>
      <c r="G28" s="27">
        <f t="shared" si="29"/>
        <v>105000000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>
        <v>100000000</v>
      </c>
      <c r="W28" s="27"/>
      <c r="X28" s="27"/>
      <c r="Y28" s="27"/>
      <c r="Z28" s="27"/>
      <c r="AA28" s="27">
        <v>5000000</v>
      </c>
      <c r="AC28" s="29">
        <f t="shared" si="1"/>
        <v>0.76282810476190477</v>
      </c>
      <c r="AD28" s="27">
        <f t="shared" si="30"/>
        <v>80096951</v>
      </c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>
        <f>+'[1]JUNIO 2016'!$Y$793</f>
        <v>78946451</v>
      </c>
      <c r="AT28" s="27"/>
      <c r="AU28" s="27"/>
      <c r="AV28" s="27"/>
      <c r="AW28" s="27"/>
      <c r="AX28" s="27">
        <v>1150500</v>
      </c>
      <c r="AY28" s="29">
        <f t="shared" si="3"/>
        <v>0.23717189523809523</v>
      </c>
      <c r="AZ28" s="27">
        <f t="shared" si="31"/>
        <v>24903049</v>
      </c>
      <c r="BA28" s="27">
        <f t="shared" si="32"/>
        <v>0</v>
      </c>
      <c r="BB28" s="27">
        <f t="shared" si="33"/>
        <v>0</v>
      </c>
      <c r="BC28" s="27">
        <f t="shared" si="33"/>
        <v>0</v>
      </c>
      <c r="BD28" s="27">
        <f t="shared" si="33"/>
        <v>0</v>
      </c>
      <c r="BE28" s="27">
        <f t="shared" si="34"/>
        <v>0</v>
      </c>
      <c r="BF28" s="27">
        <f t="shared" si="34"/>
        <v>0</v>
      </c>
      <c r="BG28" s="27">
        <f t="shared" si="34"/>
        <v>0</v>
      </c>
      <c r="BH28" s="27">
        <f t="shared" si="34"/>
        <v>0</v>
      </c>
      <c r="BI28" s="27">
        <f t="shared" si="34"/>
        <v>0</v>
      </c>
      <c r="BJ28" s="27">
        <f t="shared" si="34"/>
        <v>0</v>
      </c>
      <c r="BK28" s="27">
        <f t="shared" si="34"/>
        <v>0</v>
      </c>
      <c r="BL28" s="27">
        <f t="shared" si="34"/>
        <v>0</v>
      </c>
      <c r="BM28" s="27">
        <f t="shared" si="34"/>
        <v>0</v>
      </c>
      <c r="BN28" s="27">
        <f t="shared" si="34"/>
        <v>0</v>
      </c>
      <c r="BO28" s="27">
        <f t="shared" si="34"/>
        <v>21053549</v>
      </c>
      <c r="BP28" s="27">
        <f t="shared" si="34"/>
        <v>0</v>
      </c>
      <c r="BQ28" s="27"/>
      <c r="BR28" s="27"/>
      <c r="BS28" s="27"/>
      <c r="BT28" s="27">
        <f t="shared" si="35"/>
        <v>3849500</v>
      </c>
      <c r="BU28" s="29">
        <f t="shared" si="10"/>
        <v>0.54172334285714285</v>
      </c>
      <c r="BV28" s="27">
        <f t="shared" si="36"/>
        <v>56880951</v>
      </c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>
        <f>+'[1]JUNIO 2016'!$H$791-CP28</f>
        <v>55730451</v>
      </c>
      <c r="CL28" s="27"/>
      <c r="CM28" s="27"/>
      <c r="CN28" s="27"/>
      <c r="CO28" s="27"/>
      <c r="CP28" s="27">
        <v>1150500</v>
      </c>
      <c r="CQ28" s="29">
        <f t="shared" si="12"/>
        <v>0.45827665714285715</v>
      </c>
      <c r="CR28" s="27">
        <f t="shared" si="37"/>
        <v>48119049</v>
      </c>
      <c r="CS28" s="27">
        <f t="shared" si="38"/>
        <v>0</v>
      </c>
      <c r="CT28" s="27">
        <f t="shared" si="38"/>
        <v>0</v>
      </c>
      <c r="CU28" s="27">
        <f t="shared" si="38"/>
        <v>0</v>
      </c>
      <c r="CV28" s="27">
        <f t="shared" si="38"/>
        <v>0</v>
      </c>
      <c r="CW28" s="27">
        <f t="shared" si="38"/>
        <v>0</v>
      </c>
      <c r="CX28" s="27">
        <f t="shared" si="38"/>
        <v>0</v>
      </c>
      <c r="CY28" s="27">
        <f t="shared" si="38"/>
        <v>0</v>
      </c>
      <c r="CZ28" s="27">
        <f t="shared" si="39"/>
        <v>0</v>
      </c>
      <c r="DA28" s="27">
        <f t="shared" si="39"/>
        <v>0</v>
      </c>
      <c r="DB28" s="27">
        <f t="shared" si="39"/>
        <v>0</v>
      </c>
      <c r="DC28" s="27">
        <f t="shared" si="40"/>
        <v>0</v>
      </c>
      <c r="DD28" s="27">
        <f t="shared" si="40"/>
        <v>0</v>
      </c>
      <c r="DE28" s="27">
        <f t="shared" si="40"/>
        <v>0</v>
      </c>
      <c r="DF28" s="27">
        <f t="shared" si="41"/>
        <v>0</v>
      </c>
      <c r="DG28" s="27">
        <f t="shared" si="41"/>
        <v>44269549</v>
      </c>
      <c r="DH28" s="27">
        <f t="shared" si="41"/>
        <v>0</v>
      </c>
      <c r="DI28" s="27"/>
      <c r="DJ28" s="27">
        <f t="shared" si="42"/>
        <v>0</v>
      </c>
      <c r="DK28" s="27">
        <f t="shared" si="42"/>
        <v>0</v>
      </c>
      <c r="DL28" s="27">
        <f t="shared" si="42"/>
        <v>3849500</v>
      </c>
    </row>
    <row r="29" spans="1:118" ht="23.25" customHeight="1" x14ac:dyDescent="0.25">
      <c r="A29" s="34"/>
      <c r="B29" s="230"/>
      <c r="C29" s="23" t="s">
        <v>107</v>
      </c>
      <c r="D29" s="24" t="s">
        <v>108</v>
      </c>
      <c r="E29" s="25">
        <v>410</v>
      </c>
      <c r="F29" s="26" t="s">
        <v>99</v>
      </c>
      <c r="G29" s="27">
        <f t="shared" si="29"/>
        <v>100000000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>
        <v>100000000</v>
      </c>
      <c r="W29" s="27"/>
      <c r="X29" s="27"/>
      <c r="Y29" s="27"/>
      <c r="Z29" s="27"/>
      <c r="AA29" s="27"/>
      <c r="AC29" s="29">
        <f t="shared" si="1"/>
        <v>0.78837499</v>
      </c>
      <c r="AD29" s="27">
        <f t="shared" si="30"/>
        <v>78837499</v>
      </c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>
        <f>+'[1]JUNIO 2016'!$Y$835</f>
        <v>78837499</v>
      </c>
      <c r="AT29" s="27"/>
      <c r="AU29" s="27"/>
      <c r="AV29" s="27"/>
      <c r="AW29" s="27"/>
      <c r="AX29" s="27"/>
      <c r="AY29" s="29">
        <f t="shared" si="3"/>
        <v>0.21162501</v>
      </c>
      <c r="AZ29" s="27">
        <f t="shared" si="31"/>
        <v>21162501</v>
      </c>
      <c r="BA29" s="27">
        <f t="shared" si="32"/>
        <v>0</v>
      </c>
      <c r="BB29" s="27">
        <f t="shared" si="33"/>
        <v>0</v>
      </c>
      <c r="BC29" s="27">
        <f t="shared" si="33"/>
        <v>0</v>
      </c>
      <c r="BD29" s="27">
        <f t="shared" si="33"/>
        <v>0</v>
      </c>
      <c r="BE29" s="27">
        <f t="shared" si="34"/>
        <v>0</v>
      </c>
      <c r="BF29" s="27">
        <f t="shared" si="34"/>
        <v>0</v>
      </c>
      <c r="BG29" s="27">
        <f t="shared" si="34"/>
        <v>0</v>
      </c>
      <c r="BH29" s="27">
        <f t="shared" si="34"/>
        <v>0</v>
      </c>
      <c r="BI29" s="27">
        <f t="shared" si="34"/>
        <v>0</v>
      </c>
      <c r="BJ29" s="27">
        <f t="shared" si="34"/>
        <v>0</v>
      </c>
      <c r="BK29" s="27">
        <f t="shared" si="34"/>
        <v>0</v>
      </c>
      <c r="BL29" s="27">
        <f t="shared" si="34"/>
        <v>0</v>
      </c>
      <c r="BM29" s="27">
        <f t="shared" si="34"/>
        <v>0</v>
      </c>
      <c r="BN29" s="27">
        <f t="shared" si="34"/>
        <v>0</v>
      </c>
      <c r="BO29" s="27">
        <f t="shared" si="34"/>
        <v>21162501</v>
      </c>
      <c r="BP29" s="27">
        <f t="shared" si="34"/>
        <v>0</v>
      </c>
      <c r="BQ29" s="27"/>
      <c r="BR29" s="27"/>
      <c r="BS29" s="27"/>
      <c r="BT29" s="27">
        <f t="shared" si="35"/>
        <v>0</v>
      </c>
      <c r="BU29" s="29">
        <f t="shared" si="10"/>
        <v>0.78837499</v>
      </c>
      <c r="BV29" s="27">
        <f t="shared" si="36"/>
        <v>78837499</v>
      </c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>
        <f>+'[1]JUNIO 2016'!$H$833</f>
        <v>78837499</v>
      </c>
      <c r="CL29" s="27"/>
      <c r="CM29" s="27"/>
      <c r="CN29" s="27"/>
      <c r="CO29" s="27"/>
      <c r="CP29" s="27"/>
      <c r="CQ29" s="29">
        <f t="shared" si="12"/>
        <v>0.21162501</v>
      </c>
      <c r="CR29" s="27">
        <f t="shared" si="37"/>
        <v>21162501</v>
      </c>
      <c r="CS29" s="27">
        <f t="shared" si="38"/>
        <v>0</v>
      </c>
      <c r="CT29" s="27">
        <f t="shared" si="38"/>
        <v>0</v>
      </c>
      <c r="CU29" s="27">
        <f t="shared" si="38"/>
        <v>0</v>
      </c>
      <c r="CV29" s="27">
        <f t="shared" si="38"/>
        <v>0</v>
      </c>
      <c r="CW29" s="27">
        <f t="shared" si="38"/>
        <v>0</v>
      </c>
      <c r="CX29" s="27">
        <f t="shared" si="38"/>
        <v>0</v>
      </c>
      <c r="CY29" s="27">
        <f t="shared" si="38"/>
        <v>0</v>
      </c>
      <c r="CZ29" s="27">
        <f t="shared" si="39"/>
        <v>0</v>
      </c>
      <c r="DA29" s="27">
        <f t="shared" si="39"/>
        <v>0</v>
      </c>
      <c r="DB29" s="27">
        <f t="shared" si="39"/>
        <v>0</v>
      </c>
      <c r="DC29" s="27">
        <f t="shared" si="40"/>
        <v>0</v>
      </c>
      <c r="DD29" s="27">
        <f t="shared" si="40"/>
        <v>0</v>
      </c>
      <c r="DE29" s="27">
        <f t="shared" si="40"/>
        <v>0</v>
      </c>
      <c r="DF29" s="27">
        <f t="shared" si="41"/>
        <v>0</v>
      </c>
      <c r="DG29" s="27">
        <f t="shared" si="41"/>
        <v>21162501</v>
      </c>
      <c r="DH29" s="27">
        <f t="shared" si="41"/>
        <v>0</v>
      </c>
      <c r="DI29" s="27"/>
      <c r="DJ29" s="27">
        <f t="shared" si="42"/>
        <v>0</v>
      </c>
      <c r="DK29" s="27">
        <f t="shared" si="42"/>
        <v>0</v>
      </c>
      <c r="DL29" s="27">
        <f t="shared" si="42"/>
        <v>0</v>
      </c>
    </row>
    <row r="30" spans="1:118" ht="22.5" customHeight="1" x14ac:dyDescent="0.25">
      <c r="A30" s="34"/>
      <c r="B30" s="230"/>
      <c r="C30" s="23" t="s">
        <v>109</v>
      </c>
      <c r="D30" s="24" t="s">
        <v>110</v>
      </c>
      <c r="E30" s="25">
        <v>410</v>
      </c>
      <c r="F30" s="26" t="s">
        <v>75</v>
      </c>
      <c r="G30" s="27">
        <f t="shared" si="29"/>
        <v>12000000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>
        <f>6000000+2000000+4000000</f>
        <v>12000000</v>
      </c>
      <c r="AC30" s="29">
        <f t="shared" si="1"/>
        <v>0.49446925000000003</v>
      </c>
      <c r="AD30" s="27">
        <f t="shared" si="30"/>
        <v>5933631</v>
      </c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>
        <f>+'[1]JUNIO 2016'!$AG$861</f>
        <v>5933631</v>
      </c>
      <c r="AY30" s="29">
        <f t="shared" si="3"/>
        <v>0.50553074999999992</v>
      </c>
      <c r="AZ30" s="27">
        <f t="shared" si="31"/>
        <v>6066369</v>
      </c>
      <c r="BA30" s="27">
        <f t="shared" si="32"/>
        <v>0</v>
      </c>
      <c r="BB30" s="27">
        <f t="shared" si="33"/>
        <v>0</v>
      </c>
      <c r="BC30" s="27">
        <f t="shared" si="33"/>
        <v>0</v>
      </c>
      <c r="BD30" s="27">
        <f t="shared" si="33"/>
        <v>0</v>
      </c>
      <c r="BE30" s="27">
        <f t="shared" si="34"/>
        <v>0</v>
      </c>
      <c r="BF30" s="27">
        <f t="shared" si="34"/>
        <v>0</v>
      </c>
      <c r="BG30" s="27">
        <f t="shared" si="34"/>
        <v>0</v>
      </c>
      <c r="BH30" s="27">
        <f t="shared" si="34"/>
        <v>0</v>
      </c>
      <c r="BI30" s="27">
        <f t="shared" si="34"/>
        <v>0</v>
      </c>
      <c r="BJ30" s="27">
        <f t="shared" si="34"/>
        <v>0</v>
      </c>
      <c r="BK30" s="27">
        <f t="shared" si="34"/>
        <v>0</v>
      </c>
      <c r="BL30" s="27">
        <f t="shared" si="34"/>
        <v>0</v>
      </c>
      <c r="BM30" s="27">
        <f t="shared" si="34"/>
        <v>0</v>
      </c>
      <c r="BN30" s="27"/>
      <c r="BO30" s="27">
        <f t="shared" si="34"/>
        <v>0</v>
      </c>
      <c r="BP30" s="27">
        <f t="shared" si="34"/>
        <v>0</v>
      </c>
      <c r="BQ30" s="27"/>
      <c r="BR30" s="27"/>
      <c r="BS30" s="27"/>
      <c r="BT30" s="27">
        <f t="shared" si="35"/>
        <v>6066369</v>
      </c>
      <c r="BU30" s="29">
        <f t="shared" si="10"/>
        <v>0.49446925000000003</v>
      </c>
      <c r="BV30" s="27">
        <f t="shared" si="36"/>
        <v>5933631</v>
      </c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>
        <f>+'[1]JUNIO 2016'!$H$859</f>
        <v>5933631</v>
      </c>
      <c r="CQ30" s="29">
        <f t="shared" si="12"/>
        <v>0.50553074999999992</v>
      </c>
      <c r="CR30" s="27">
        <f t="shared" si="37"/>
        <v>6066369</v>
      </c>
      <c r="CS30" s="27">
        <f t="shared" si="38"/>
        <v>0</v>
      </c>
      <c r="CT30" s="27">
        <f t="shared" si="38"/>
        <v>0</v>
      </c>
      <c r="CU30" s="27">
        <f t="shared" si="38"/>
        <v>0</v>
      </c>
      <c r="CV30" s="27">
        <f t="shared" si="38"/>
        <v>0</v>
      </c>
      <c r="CW30" s="27">
        <f t="shared" si="38"/>
        <v>0</v>
      </c>
      <c r="CX30" s="27">
        <f t="shared" si="38"/>
        <v>0</v>
      </c>
      <c r="CY30" s="27">
        <f t="shared" si="38"/>
        <v>0</v>
      </c>
      <c r="CZ30" s="27">
        <f t="shared" si="39"/>
        <v>0</v>
      </c>
      <c r="DA30" s="27">
        <f t="shared" si="39"/>
        <v>0</v>
      </c>
      <c r="DB30" s="27">
        <f t="shared" si="39"/>
        <v>0</v>
      </c>
      <c r="DC30" s="27">
        <f t="shared" si="40"/>
        <v>0</v>
      </c>
      <c r="DD30" s="27">
        <f t="shared" si="40"/>
        <v>0</v>
      </c>
      <c r="DE30" s="27">
        <f t="shared" si="40"/>
        <v>0</v>
      </c>
      <c r="DF30" s="27">
        <f t="shared" si="40"/>
        <v>0</v>
      </c>
      <c r="DG30" s="27">
        <f t="shared" si="40"/>
        <v>0</v>
      </c>
      <c r="DH30" s="27">
        <f t="shared" si="40"/>
        <v>0</v>
      </c>
      <c r="DI30" s="27"/>
      <c r="DJ30" s="27">
        <f t="shared" ref="DJ30:DL45" si="43">Y30-CN30</f>
        <v>0</v>
      </c>
      <c r="DK30" s="27">
        <f t="shared" si="43"/>
        <v>0</v>
      </c>
      <c r="DL30" s="27">
        <f t="shared" si="43"/>
        <v>6066369</v>
      </c>
    </row>
    <row r="31" spans="1:118" ht="33" customHeight="1" x14ac:dyDescent="0.25">
      <c r="A31" s="34"/>
      <c r="B31" s="230"/>
      <c r="C31" s="23" t="s">
        <v>111</v>
      </c>
      <c r="D31" s="24" t="s">
        <v>112</v>
      </c>
      <c r="E31" s="25">
        <v>410</v>
      </c>
      <c r="F31" s="26" t="s">
        <v>113</v>
      </c>
      <c r="G31" s="27">
        <f t="shared" si="29"/>
        <v>5000000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>
        <v>5000000</v>
      </c>
      <c r="AC31" s="29">
        <f t="shared" si="1"/>
        <v>0.32128479999999998</v>
      </c>
      <c r="AD31" s="27">
        <f t="shared" si="30"/>
        <v>1606424</v>
      </c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>
        <f>+'[4]ABRIL 2016'!$G$646</f>
        <v>1606424</v>
      </c>
      <c r="AY31" s="29">
        <f t="shared" si="3"/>
        <v>0.67871520000000007</v>
      </c>
      <c r="AZ31" s="27">
        <f t="shared" si="31"/>
        <v>3393576</v>
      </c>
      <c r="BA31" s="27">
        <f t="shared" si="32"/>
        <v>0</v>
      </c>
      <c r="BB31" s="27">
        <f t="shared" si="33"/>
        <v>0</v>
      </c>
      <c r="BC31" s="27">
        <f t="shared" si="33"/>
        <v>0</v>
      </c>
      <c r="BD31" s="27">
        <f t="shared" si="33"/>
        <v>0</v>
      </c>
      <c r="BE31" s="27">
        <f t="shared" si="34"/>
        <v>0</v>
      </c>
      <c r="BF31" s="27">
        <f t="shared" si="34"/>
        <v>0</v>
      </c>
      <c r="BG31" s="27">
        <f t="shared" si="34"/>
        <v>0</v>
      </c>
      <c r="BH31" s="27">
        <f t="shared" si="34"/>
        <v>0</v>
      </c>
      <c r="BI31" s="27">
        <f t="shared" si="34"/>
        <v>0</v>
      </c>
      <c r="BJ31" s="27">
        <f t="shared" si="34"/>
        <v>0</v>
      </c>
      <c r="BK31" s="27">
        <f t="shared" si="34"/>
        <v>0</v>
      </c>
      <c r="BL31" s="27">
        <f t="shared" si="34"/>
        <v>0</v>
      </c>
      <c r="BM31" s="27">
        <f t="shared" si="34"/>
        <v>0</v>
      </c>
      <c r="BN31" s="27"/>
      <c r="BO31" s="27">
        <f t="shared" si="34"/>
        <v>0</v>
      </c>
      <c r="BP31" s="27">
        <f t="shared" si="34"/>
        <v>0</v>
      </c>
      <c r="BQ31" s="27"/>
      <c r="BR31" s="27"/>
      <c r="BS31" s="27"/>
      <c r="BT31" s="27">
        <f t="shared" si="35"/>
        <v>3393576</v>
      </c>
      <c r="BU31" s="29">
        <f t="shared" si="10"/>
        <v>0.32128479999999998</v>
      </c>
      <c r="BV31" s="27">
        <f t="shared" si="36"/>
        <v>1606424</v>
      </c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>
        <f>+'[4]ABRIL 2016'!$H$646</f>
        <v>1606424</v>
      </c>
      <c r="CQ31" s="29">
        <f t="shared" si="12"/>
        <v>0.67871520000000007</v>
      </c>
      <c r="CR31" s="27">
        <f t="shared" si="37"/>
        <v>3393576</v>
      </c>
      <c r="CS31" s="27">
        <f t="shared" si="38"/>
        <v>0</v>
      </c>
      <c r="CT31" s="27">
        <f t="shared" si="38"/>
        <v>0</v>
      </c>
      <c r="CU31" s="27">
        <f t="shared" si="38"/>
        <v>0</v>
      </c>
      <c r="CV31" s="27">
        <f t="shared" si="38"/>
        <v>0</v>
      </c>
      <c r="CW31" s="27">
        <f t="shared" si="38"/>
        <v>0</v>
      </c>
      <c r="CX31" s="27">
        <f t="shared" si="38"/>
        <v>0</v>
      </c>
      <c r="CY31" s="27">
        <f t="shared" si="38"/>
        <v>0</v>
      </c>
      <c r="CZ31" s="27">
        <f t="shared" si="39"/>
        <v>0</v>
      </c>
      <c r="DA31" s="27">
        <f t="shared" si="39"/>
        <v>0</v>
      </c>
      <c r="DB31" s="27">
        <f t="shared" si="39"/>
        <v>0</v>
      </c>
      <c r="DC31" s="27">
        <f t="shared" si="40"/>
        <v>0</v>
      </c>
      <c r="DD31" s="27">
        <f t="shared" si="40"/>
        <v>0</v>
      </c>
      <c r="DE31" s="27">
        <f t="shared" si="40"/>
        <v>0</v>
      </c>
      <c r="DF31" s="27">
        <f t="shared" si="40"/>
        <v>0</v>
      </c>
      <c r="DG31" s="27">
        <f t="shared" si="40"/>
        <v>0</v>
      </c>
      <c r="DH31" s="27">
        <f t="shared" si="40"/>
        <v>0</v>
      </c>
      <c r="DI31" s="27"/>
      <c r="DJ31" s="27">
        <f t="shared" si="43"/>
        <v>0</v>
      </c>
      <c r="DK31" s="27">
        <f t="shared" si="43"/>
        <v>0</v>
      </c>
      <c r="DL31" s="27">
        <f t="shared" si="43"/>
        <v>3393576</v>
      </c>
    </row>
    <row r="32" spans="1:118" ht="38.25" customHeight="1" x14ac:dyDescent="0.25">
      <c r="A32" s="34"/>
      <c r="B32" s="231"/>
      <c r="C32" s="23" t="s">
        <v>114</v>
      </c>
      <c r="D32" s="24" t="s">
        <v>115</v>
      </c>
      <c r="E32" s="25">
        <v>410</v>
      </c>
      <c r="F32" s="26" t="s">
        <v>116</v>
      </c>
      <c r="G32" s="27">
        <f t="shared" si="29"/>
        <v>121169156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>
        <v>110000000</v>
      </c>
      <c r="W32" s="27"/>
      <c r="X32" s="27">
        <v>11169156</v>
      </c>
      <c r="Y32" s="27"/>
      <c r="Z32" s="27"/>
      <c r="AA32" s="27"/>
      <c r="AC32" s="29">
        <f t="shared" si="1"/>
        <v>0.90782178923487755</v>
      </c>
      <c r="AD32" s="27">
        <f t="shared" si="30"/>
        <v>110000000</v>
      </c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>
        <f>+'[5]ENERO 2016'!$Y$308</f>
        <v>110000000</v>
      </c>
      <c r="AT32" s="27"/>
      <c r="AU32" s="27"/>
      <c r="AV32" s="27"/>
      <c r="AW32" s="27"/>
      <c r="AX32" s="27"/>
      <c r="AY32" s="29">
        <f t="shared" si="3"/>
        <v>9.2178210765122448E-2</v>
      </c>
      <c r="AZ32" s="27">
        <f t="shared" si="31"/>
        <v>11169156</v>
      </c>
      <c r="BA32" s="27">
        <f t="shared" si="32"/>
        <v>0</v>
      </c>
      <c r="BB32" s="27">
        <f t="shared" si="33"/>
        <v>0</v>
      </c>
      <c r="BC32" s="27">
        <f t="shared" si="33"/>
        <v>0</v>
      </c>
      <c r="BD32" s="27">
        <f t="shared" si="33"/>
        <v>0</v>
      </c>
      <c r="BE32" s="27">
        <f t="shared" si="34"/>
        <v>0</v>
      </c>
      <c r="BF32" s="27">
        <f t="shared" si="34"/>
        <v>0</v>
      </c>
      <c r="BG32" s="27">
        <f t="shared" si="34"/>
        <v>0</v>
      </c>
      <c r="BH32" s="27">
        <f t="shared" si="34"/>
        <v>0</v>
      </c>
      <c r="BI32" s="27">
        <f t="shared" si="34"/>
        <v>0</v>
      </c>
      <c r="BJ32" s="27">
        <f t="shared" si="34"/>
        <v>0</v>
      </c>
      <c r="BK32" s="27">
        <f t="shared" si="34"/>
        <v>0</v>
      </c>
      <c r="BL32" s="27">
        <f t="shared" si="34"/>
        <v>0</v>
      </c>
      <c r="BM32" s="27">
        <f t="shared" si="34"/>
        <v>0</v>
      </c>
      <c r="BN32" s="27"/>
      <c r="BO32" s="27">
        <f t="shared" si="34"/>
        <v>0</v>
      </c>
      <c r="BP32" s="27">
        <f t="shared" si="34"/>
        <v>0</v>
      </c>
      <c r="BQ32" s="27">
        <f>+X32-AU32</f>
        <v>11169156</v>
      </c>
      <c r="BR32" s="27"/>
      <c r="BS32" s="27"/>
      <c r="BT32" s="27">
        <f t="shared" si="35"/>
        <v>0</v>
      </c>
      <c r="BU32" s="29">
        <f t="shared" si="10"/>
        <v>0.76112202184522937</v>
      </c>
      <c r="BV32" s="27">
        <f t="shared" si="36"/>
        <v>92224513</v>
      </c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>
        <f>+'[1]JUNIO 2016'!$H$874</f>
        <v>92224513</v>
      </c>
      <c r="CL32" s="27"/>
      <c r="CM32" s="27"/>
      <c r="CN32" s="27"/>
      <c r="CO32" s="27"/>
      <c r="CP32" s="27"/>
      <c r="CQ32" s="29">
        <f t="shared" si="12"/>
        <v>0.23887797815477063</v>
      </c>
      <c r="CR32" s="27">
        <f t="shared" si="37"/>
        <v>28944643</v>
      </c>
      <c r="CS32" s="27">
        <f t="shared" si="38"/>
        <v>0</v>
      </c>
      <c r="CT32" s="27">
        <f t="shared" si="38"/>
        <v>0</v>
      </c>
      <c r="CU32" s="27">
        <f t="shared" si="38"/>
        <v>0</v>
      </c>
      <c r="CV32" s="27">
        <f t="shared" si="38"/>
        <v>0</v>
      </c>
      <c r="CW32" s="27">
        <f t="shared" si="38"/>
        <v>0</v>
      </c>
      <c r="CX32" s="27">
        <f t="shared" si="38"/>
        <v>0</v>
      </c>
      <c r="CY32" s="27">
        <f t="shared" si="38"/>
        <v>0</v>
      </c>
      <c r="CZ32" s="27">
        <f t="shared" si="39"/>
        <v>0</v>
      </c>
      <c r="DA32" s="27">
        <f t="shared" si="39"/>
        <v>0</v>
      </c>
      <c r="DB32" s="27">
        <f t="shared" si="39"/>
        <v>0</v>
      </c>
      <c r="DC32" s="27">
        <f t="shared" si="40"/>
        <v>0</v>
      </c>
      <c r="DD32" s="27">
        <f t="shared" si="40"/>
        <v>0</v>
      </c>
      <c r="DE32" s="27">
        <f t="shared" si="40"/>
        <v>0</v>
      </c>
      <c r="DF32" s="27">
        <f t="shared" si="40"/>
        <v>0</v>
      </c>
      <c r="DG32" s="27">
        <f t="shared" si="40"/>
        <v>17775487</v>
      </c>
      <c r="DH32" s="27">
        <f t="shared" si="40"/>
        <v>0</v>
      </c>
      <c r="DI32" s="27">
        <f>X32-CM32</f>
        <v>11169156</v>
      </c>
      <c r="DJ32" s="27">
        <f t="shared" si="43"/>
        <v>0</v>
      </c>
      <c r="DK32" s="27">
        <f t="shared" si="43"/>
        <v>0</v>
      </c>
      <c r="DL32" s="27">
        <f t="shared" si="43"/>
        <v>0</v>
      </c>
      <c r="DN32" s="58"/>
    </row>
    <row r="33" spans="1:116" ht="21.75" customHeight="1" x14ac:dyDescent="0.25">
      <c r="A33" s="236" t="s">
        <v>85</v>
      </c>
      <c r="B33" s="229" t="s">
        <v>117</v>
      </c>
      <c r="C33" s="23" t="s">
        <v>118</v>
      </c>
      <c r="D33" s="24" t="s">
        <v>119</v>
      </c>
      <c r="E33" s="36">
        <v>410</v>
      </c>
      <c r="F33" s="26" t="s">
        <v>89</v>
      </c>
      <c r="G33" s="27">
        <f t="shared" si="29"/>
        <v>55000000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>
        <v>55000000</v>
      </c>
      <c r="W33" s="27"/>
      <c r="X33" s="27"/>
      <c r="Y33" s="27"/>
      <c r="Z33" s="27"/>
      <c r="AA33" s="27"/>
      <c r="AC33" s="29">
        <f t="shared" si="1"/>
        <v>0.31335221818181819</v>
      </c>
      <c r="AD33" s="27">
        <f t="shared" si="30"/>
        <v>17234372</v>
      </c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>
        <f>+'[1]JUNIO 2016'!$Y$911</f>
        <v>17234372</v>
      </c>
      <c r="AT33" s="27"/>
      <c r="AU33" s="27"/>
      <c r="AV33" s="27"/>
      <c r="AW33" s="27"/>
      <c r="AX33" s="27"/>
      <c r="AY33" s="29">
        <f t="shared" si="3"/>
        <v>0.68664778181818176</v>
      </c>
      <c r="AZ33" s="27">
        <f t="shared" si="31"/>
        <v>37765628</v>
      </c>
      <c r="BA33" s="27">
        <f t="shared" si="32"/>
        <v>0</v>
      </c>
      <c r="BB33" s="27">
        <f t="shared" si="33"/>
        <v>0</v>
      </c>
      <c r="BC33" s="27">
        <f t="shared" si="33"/>
        <v>0</v>
      </c>
      <c r="BD33" s="27">
        <f t="shared" si="33"/>
        <v>0</v>
      </c>
      <c r="BE33" s="27">
        <f t="shared" si="34"/>
        <v>0</v>
      </c>
      <c r="BF33" s="27">
        <f t="shared" si="34"/>
        <v>0</v>
      </c>
      <c r="BG33" s="27">
        <f t="shared" si="34"/>
        <v>0</v>
      </c>
      <c r="BH33" s="27">
        <f t="shared" si="34"/>
        <v>0</v>
      </c>
      <c r="BI33" s="27">
        <f t="shared" si="34"/>
        <v>0</v>
      </c>
      <c r="BJ33" s="27">
        <f t="shared" si="34"/>
        <v>0</v>
      </c>
      <c r="BK33" s="27">
        <f t="shared" si="34"/>
        <v>0</v>
      </c>
      <c r="BL33" s="27">
        <f t="shared" si="34"/>
        <v>0</v>
      </c>
      <c r="BM33" s="27">
        <f t="shared" si="34"/>
        <v>0</v>
      </c>
      <c r="BN33" s="27">
        <f>+U33-AR33</f>
        <v>0</v>
      </c>
      <c r="BO33" s="27">
        <f t="shared" si="34"/>
        <v>37765628</v>
      </c>
      <c r="BP33" s="27">
        <f t="shared" si="34"/>
        <v>0</v>
      </c>
      <c r="BQ33" s="27"/>
      <c r="BR33" s="27"/>
      <c r="BS33" s="27"/>
      <c r="BT33" s="27">
        <f t="shared" si="35"/>
        <v>0</v>
      </c>
      <c r="BU33" s="29">
        <f t="shared" si="10"/>
        <v>0.28135221818181816</v>
      </c>
      <c r="BV33" s="27">
        <f t="shared" si="36"/>
        <v>15474372</v>
      </c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>
        <f>+'[1]JUNIO 2016'!$H$909</f>
        <v>15474372</v>
      </c>
      <c r="CL33" s="27"/>
      <c r="CM33" s="27"/>
      <c r="CN33" s="27"/>
      <c r="CO33" s="27"/>
      <c r="CP33" s="27"/>
      <c r="CQ33" s="29">
        <f t="shared" si="12"/>
        <v>0.71864778181818179</v>
      </c>
      <c r="CR33" s="27">
        <f t="shared" si="37"/>
        <v>39525628</v>
      </c>
      <c r="CS33" s="27">
        <f t="shared" si="38"/>
        <v>0</v>
      </c>
      <c r="CT33" s="27">
        <f t="shared" si="38"/>
        <v>0</v>
      </c>
      <c r="CU33" s="27">
        <f t="shared" si="38"/>
        <v>0</v>
      </c>
      <c r="CV33" s="27">
        <f t="shared" si="38"/>
        <v>0</v>
      </c>
      <c r="CW33" s="27">
        <f t="shared" si="38"/>
        <v>0</v>
      </c>
      <c r="CX33" s="27">
        <f t="shared" si="38"/>
        <v>0</v>
      </c>
      <c r="CY33" s="27">
        <f t="shared" si="38"/>
        <v>0</v>
      </c>
      <c r="CZ33" s="27">
        <f t="shared" si="39"/>
        <v>0</v>
      </c>
      <c r="DA33" s="27">
        <f t="shared" si="39"/>
        <v>0</v>
      </c>
      <c r="DB33" s="27">
        <f t="shared" si="39"/>
        <v>0</v>
      </c>
      <c r="DC33" s="27">
        <f t="shared" si="40"/>
        <v>0</v>
      </c>
      <c r="DD33" s="27">
        <f t="shared" si="40"/>
        <v>0</v>
      </c>
      <c r="DE33" s="27">
        <f t="shared" si="40"/>
        <v>0</v>
      </c>
      <c r="DF33" s="27">
        <f t="shared" ref="DF33:DH35" si="44">+U33-CJ33</f>
        <v>0</v>
      </c>
      <c r="DG33" s="27">
        <f t="shared" si="44"/>
        <v>39525628</v>
      </c>
      <c r="DH33" s="27">
        <f t="shared" si="44"/>
        <v>0</v>
      </c>
      <c r="DI33" s="27"/>
      <c r="DJ33" s="27">
        <f>+Y33-CN33</f>
        <v>0</v>
      </c>
      <c r="DK33" s="27">
        <f t="shared" si="43"/>
        <v>0</v>
      </c>
      <c r="DL33" s="27">
        <f>+AA33-CP33</f>
        <v>0</v>
      </c>
    </row>
    <row r="34" spans="1:116" ht="24.75" customHeight="1" x14ac:dyDescent="0.25">
      <c r="A34" s="236"/>
      <c r="B34" s="230"/>
      <c r="C34" s="23" t="s">
        <v>120</v>
      </c>
      <c r="D34" s="24" t="s">
        <v>121</v>
      </c>
      <c r="E34" s="25">
        <v>410</v>
      </c>
      <c r="F34" s="26" t="s">
        <v>89</v>
      </c>
      <c r="G34" s="27">
        <f t="shared" si="29"/>
        <v>50000000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>
        <v>50000000</v>
      </c>
      <c r="W34" s="27"/>
      <c r="X34" s="27"/>
      <c r="Y34" s="27"/>
      <c r="Z34" s="27"/>
      <c r="AA34" s="27"/>
      <c r="AC34" s="29">
        <f t="shared" si="1"/>
        <v>9.1264159999999997E-2</v>
      </c>
      <c r="AD34" s="27">
        <f t="shared" si="30"/>
        <v>4563208</v>
      </c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>
        <f>+'[1]JUNIO 2016'!$Y$932</f>
        <v>4563208</v>
      </c>
      <c r="AT34" s="27"/>
      <c r="AU34" s="27"/>
      <c r="AV34" s="27"/>
      <c r="AW34" s="27"/>
      <c r="AX34" s="27"/>
      <c r="AY34" s="29">
        <f t="shared" si="3"/>
        <v>0.90873583999999996</v>
      </c>
      <c r="AZ34" s="27">
        <f t="shared" si="31"/>
        <v>45436792</v>
      </c>
      <c r="BA34" s="27">
        <f t="shared" si="32"/>
        <v>0</v>
      </c>
      <c r="BB34" s="27">
        <f t="shared" si="33"/>
        <v>0</v>
      </c>
      <c r="BC34" s="27">
        <f t="shared" si="33"/>
        <v>0</v>
      </c>
      <c r="BD34" s="27">
        <f t="shared" si="33"/>
        <v>0</v>
      </c>
      <c r="BE34" s="27">
        <f t="shared" si="34"/>
        <v>0</v>
      </c>
      <c r="BF34" s="27">
        <f t="shared" si="34"/>
        <v>0</v>
      </c>
      <c r="BG34" s="27">
        <f t="shared" si="34"/>
        <v>0</v>
      </c>
      <c r="BH34" s="27">
        <f t="shared" si="34"/>
        <v>0</v>
      </c>
      <c r="BI34" s="27">
        <f t="shared" si="34"/>
        <v>0</v>
      </c>
      <c r="BJ34" s="27">
        <f t="shared" si="34"/>
        <v>0</v>
      </c>
      <c r="BK34" s="27">
        <f t="shared" si="34"/>
        <v>0</v>
      </c>
      <c r="BL34" s="27">
        <f t="shared" si="34"/>
        <v>0</v>
      </c>
      <c r="BM34" s="27">
        <f t="shared" si="34"/>
        <v>0</v>
      </c>
      <c r="BN34" s="27">
        <f>+U34-AR34</f>
        <v>0</v>
      </c>
      <c r="BO34" s="27">
        <f t="shared" si="34"/>
        <v>45436792</v>
      </c>
      <c r="BP34" s="27">
        <f t="shared" si="34"/>
        <v>0</v>
      </c>
      <c r="BQ34" s="27"/>
      <c r="BR34" s="27"/>
      <c r="BS34" s="27"/>
      <c r="BT34" s="27">
        <f t="shared" si="35"/>
        <v>0</v>
      </c>
      <c r="BU34" s="29">
        <f t="shared" si="10"/>
        <v>8.1742880000000004E-2</v>
      </c>
      <c r="BV34" s="27">
        <f t="shared" si="36"/>
        <v>4087144</v>
      </c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>
        <f>+'[3]MAYO 2016'!$H$808</f>
        <v>4087144</v>
      </c>
      <c r="CL34" s="27"/>
      <c r="CM34" s="27"/>
      <c r="CN34" s="27"/>
      <c r="CO34" s="27"/>
      <c r="CP34" s="27"/>
      <c r="CQ34" s="29">
        <f t="shared" si="12"/>
        <v>0.91825712000000004</v>
      </c>
      <c r="CR34" s="27">
        <f t="shared" si="37"/>
        <v>45912856</v>
      </c>
      <c r="CS34" s="27">
        <f t="shared" si="38"/>
        <v>0</v>
      </c>
      <c r="CT34" s="27">
        <f t="shared" si="38"/>
        <v>0</v>
      </c>
      <c r="CU34" s="27">
        <f t="shared" si="38"/>
        <v>0</v>
      </c>
      <c r="CV34" s="27">
        <f t="shared" si="38"/>
        <v>0</v>
      </c>
      <c r="CW34" s="27">
        <f t="shared" si="38"/>
        <v>0</v>
      </c>
      <c r="CX34" s="27">
        <f t="shared" si="38"/>
        <v>0</v>
      </c>
      <c r="CY34" s="27">
        <f t="shared" si="38"/>
        <v>0</v>
      </c>
      <c r="CZ34" s="27">
        <f t="shared" si="39"/>
        <v>0</v>
      </c>
      <c r="DA34" s="27">
        <f t="shared" si="39"/>
        <v>0</v>
      </c>
      <c r="DB34" s="27">
        <f t="shared" si="39"/>
        <v>0</v>
      </c>
      <c r="DC34" s="27">
        <f t="shared" si="40"/>
        <v>0</v>
      </c>
      <c r="DD34" s="27">
        <f t="shared" si="40"/>
        <v>0</v>
      </c>
      <c r="DE34" s="27">
        <f t="shared" si="40"/>
        <v>0</v>
      </c>
      <c r="DF34" s="27">
        <f t="shared" si="44"/>
        <v>0</v>
      </c>
      <c r="DG34" s="27">
        <f t="shared" si="44"/>
        <v>45912856</v>
      </c>
      <c r="DH34" s="27">
        <f t="shared" si="44"/>
        <v>0</v>
      </c>
      <c r="DI34" s="27"/>
      <c r="DJ34" s="27">
        <f>+Y34-CN34</f>
        <v>0</v>
      </c>
      <c r="DK34" s="27">
        <f t="shared" si="43"/>
        <v>0</v>
      </c>
      <c r="DL34" s="27">
        <f>+AA34-CP34</f>
        <v>0</v>
      </c>
    </row>
    <row r="35" spans="1:116" ht="19.5" customHeight="1" x14ac:dyDescent="0.25">
      <c r="A35" s="236"/>
      <c r="B35" s="230"/>
      <c r="C35" s="23" t="s">
        <v>122</v>
      </c>
      <c r="D35" s="24" t="s">
        <v>123</v>
      </c>
      <c r="E35" s="25">
        <v>410</v>
      </c>
      <c r="F35" s="26" t="s">
        <v>89</v>
      </c>
      <c r="G35" s="27">
        <f t="shared" si="29"/>
        <v>40000000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>
        <v>40000000</v>
      </c>
      <c r="W35" s="27"/>
      <c r="X35" s="27"/>
      <c r="Y35" s="27"/>
      <c r="Z35" s="27"/>
      <c r="AA35" s="27"/>
      <c r="AC35" s="29">
        <f t="shared" si="1"/>
        <v>1</v>
      </c>
      <c r="AD35" s="27">
        <f t="shared" si="30"/>
        <v>40000000</v>
      </c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>
        <v>40000000</v>
      </c>
      <c r="AT35" s="27"/>
      <c r="AU35" s="27"/>
      <c r="AV35" s="27"/>
      <c r="AW35" s="27"/>
      <c r="AX35" s="27"/>
      <c r="AY35" s="29">
        <f t="shared" si="3"/>
        <v>0</v>
      </c>
      <c r="AZ35" s="27">
        <f t="shared" si="31"/>
        <v>0</v>
      </c>
      <c r="BA35" s="27">
        <f t="shared" si="32"/>
        <v>0</v>
      </c>
      <c r="BB35" s="27">
        <f t="shared" si="33"/>
        <v>0</v>
      </c>
      <c r="BC35" s="27">
        <f t="shared" si="33"/>
        <v>0</v>
      </c>
      <c r="BD35" s="27">
        <f t="shared" si="33"/>
        <v>0</v>
      </c>
      <c r="BE35" s="27">
        <f t="shared" si="34"/>
        <v>0</v>
      </c>
      <c r="BF35" s="27">
        <f t="shared" si="34"/>
        <v>0</v>
      </c>
      <c r="BG35" s="27">
        <f t="shared" si="34"/>
        <v>0</v>
      </c>
      <c r="BH35" s="27">
        <f t="shared" si="34"/>
        <v>0</v>
      </c>
      <c r="BI35" s="27">
        <f t="shared" si="34"/>
        <v>0</v>
      </c>
      <c r="BJ35" s="27">
        <f t="shared" si="34"/>
        <v>0</v>
      </c>
      <c r="BK35" s="27">
        <f t="shared" si="34"/>
        <v>0</v>
      </c>
      <c r="BL35" s="27">
        <f t="shared" si="34"/>
        <v>0</v>
      </c>
      <c r="BM35" s="27">
        <f t="shared" si="34"/>
        <v>0</v>
      </c>
      <c r="BN35" s="27">
        <f>+U35-AR35</f>
        <v>0</v>
      </c>
      <c r="BO35" s="27">
        <f t="shared" si="34"/>
        <v>0</v>
      </c>
      <c r="BP35" s="27">
        <f t="shared" si="34"/>
        <v>0</v>
      </c>
      <c r="BQ35" s="27"/>
      <c r="BR35" s="27"/>
      <c r="BS35" s="27"/>
      <c r="BT35" s="27">
        <f t="shared" si="35"/>
        <v>0</v>
      </c>
      <c r="BU35" s="29">
        <f t="shared" si="10"/>
        <v>0.72390849999999995</v>
      </c>
      <c r="BV35" s="27">
        <f t="shared" si="36"/>
        <v>28956340</v>
      </c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>
        <f>+'[2]MARZO 2016 ULTIMO'!$H$552</f>
        <v>28956340</v>
      </c>
      <c r="CL35" s="27"/>
      <c r="CM35" s="27"/>
      <c r="CN35" s="27"/>
      <c r="CO35" s="27"/>
      <c r="CP35" s="27"/>
      <c r="CQ35" s="29">
        <f t="shared" si="12"/>
        <v>0.27609150000000005</v>
      </c>
      <c r="CR35" s="27">
        <f t="shared" si="37"/>
        <v>11043660</v>
      </c>
      <c r="CS35" s="27">
        <f t="shared" si="38"/>
        <v>0</v>
      </c>
      <c r="CT35" s="27">
        <f t="shared" si="38"/>
        <v>0</v>
      </c>
      <c r="CU35" s="27">
        <f t="shared" si="38"/>
        <v>0</v>
      </c>
      <c r="CV35" s="27">
        <f t="shared" si="38"/>
        <v>0</v>
      </c>
      <c r="CW35" s="27">
        <f t="shared" si="38"/>
        <v>0</v>
      </c>
      <c r="CX35" s="27">
        <f t="shared" si="38"/>
        <v>0</v>
      </c>
      <c r="CY35" s="27">
        <f t="shared" si="38"/>
        <v>0</v>
      </c>
      <c r="CZ35" s="27">
        <f t="shared" si="39"/>
        <v>0</v>
      </c>
      <c r="DA35" s="27">
        <f t="shared" si="39"/>
        <v>0</v>
      </c>
      <c r="DB35" s="27">
        <f t="shared" si="39"/>
        <v>0</v>
      </c>
      <c r="DC35" s="27">
        <f t="shared" si="40"/>
        <v>0</v>
      </c>
      <c r="DD35" s="27">
        <f t="shared" si="40"/>
        <v>0</v>
      </c>
      <c r="DE35" s="27">
        <f t="shared" si="40"/>
        <v>0</v>
      </c>
      <c r="DF35" s="27">
        <f t="shared" si="44"/>
        <v>0</v>
      </c>
      <c r="DG35" s="27">
        <f t="shared" si="44"/>
        <v>11043660</v>
      </c>
      <c r="DH35" s="27">
        <f t="shared" si="44"/>
        <v>0</v>
      </c>
      <c r="DI35" s="27"/>
      <c r="DJ35" s="27">
        <f>+Y35-CN35</f>
        <v>0</v>
      </c>
      <c r="DK35" s="27">
        <f t="shared" si="43"/>
        <v>0</v>
      </c>
      <c r="DL35" s="27">
        <f>+AA35-CP35</f>
        <v>0</v>
      </c>
    </row>
    <row r="36" spans="1:116" ht="21" customHeight="1" x14ac:dyDescent="0.25">
      <c r="A36" s="236"/>
      <c r="B36" s="231"/>
      <c r="C36" s="23" t="s">
        <v>124</v>
      </c>
      <c r="D36" s="24" t="s">
        <v>125</v>
      </c>
      <c r="E36" s="25">
        <v>410</v>
      </c>
      <c r="F36" s="26" t="s">
        <v>89</v>
      </c>
      <c r="G36" s="27">
        <f t="shared" si="29"/>
        <v>105000000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>
        <v>105000000</v>
      </c>
      <c r="W36" s="27"/>
      <c r="X36" s="27"/>
      <c r="Y36" s="27"/>
      <c r="Z36" s="27"/>
      <c r="AA36" s="27"/>
      <c r="AC36" s="29">
        <f t="shared" si="1"/>
        <v>1</v>
      </c>
      <c r="AD36" s="27">
        <f t="shared" si="30"/>
        <v>105000000</v>
      </c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>
        <f>+'[1]JUNIO 2016'!$Y$953</f>
        <v>105000000</v>
      </c>
      <c r="AT36" s="27"/>
      <c r="AU36" s="27"/>
      <c r="AV36" s="27"/>
      <c r="AW36" s="27"/>
      <c r="AX36" s="27"/>
      <c r="AY36" s="29">
        <f t="shared" si="3"/>
        <v>0</v>
      </c>
      <c r="AZ36" s="27">
        <f t="shared" si="31"/>
        <v>0</v>
      </c>
      <c r="BA36" s="27">
        <f t="shared" si="32"/>
        <v>0</v>
      </c>
      <c r="BB36" s="27">
        <f t="shared" si="33"/>
        <v>0</v>
      </c>
      <c r="BC36" s="27">
        <f t="shared" si="33"/>
        <v>0</v>
      </c>
      <c r="BD36" s="27">
        <f t="shared" si="33"/>
        <v>0</v>
      </c>
      <c r="BE36" s="27">
        <f t="shared" si="33"/>
        <v>0</v>
      </c>
      <c r="BF36" s="27">
        <f t="shared" si="33"/>
        <v>0</v>
      </c>
      <c r="BG36" s="27">
        <f t="shared" si="33"/>
        <v>0</v>
      </c>
      <c r="BH36" s="27">
        <f t="shared" si="33"/>
        <v>0</v>
      </c>
      <c r="BI36" s="27">
        <f t="shared" si="33"/>
        <v>0</v>
      </c>
      <c r="BJ36" s="27">
        <f t="shared" si="33"/>
        <v>0</v>
      </c>
      <c r="BK36" s="27">
        <f t="shared" si="33"/>
        <v>0</v>
      </c>
      <c r="BL36" s="27">
        <f t="shared" si="33"/>
        <v>0</v>
      </c>
      <c r="BM36" s="27">
        <f t="shared" si="33"/>
        <v>0</v>
      </c>
      <c r="BN36" s="27">
        <f t="shared" si="33"/>
        <v>0</v>
      </c>
      <c r="BO36" s="27">
        <f t="shared" si="33"/>
        <v>0</v>
      </c>
      <c r="BP36" s="27">
        <f t="shared" si="33"/>
        <v>0</v>
      </c>
      <c r="BQ36" s="27"/>
      <c r="BR36" s="27">
        <f>Y36-AV36</f>
        <v>0</v>
      </c>
      <c r="BS36" s="27">
        <f>Z36-AW36</f>
        <v>0</v>
      </c>
      <c r="BT36" s="27">
        <f>AA36-AX36</f>
        <v>0</v>
      </c>
      <c r="BU36" s="29">
        <f t="shared" si="10"/>
        <v>1</v>
      </c>
      <c r="BV36" s="27">
        <f t="shared" si="36"/>
        <v>105000000</v>
      </c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>
        <f>+'[1]JUNIO 2016'!$H$951</f>
        <v>105000000</v>
      </c>
      <c r="CL36" s="27"/>
      <c r="CM36" s="27"/>
      <c r="CN36" s="27"/>
      <c r="CO36" s="27"/>
      <c r="CP36" s="27"/>
      <c r="CQ36" s="29">
        <f t="shared" si="12"/>
        <v>0</v>
      </c>
      <c r="CR36" s="27">
        <f t="shared" si="37"/>
        <v>0</v>
      </c>
      <c r="CS36" s="27">
        <f t="shared" si="38"/>
        <v>0</v>
      </c>
      <c r="CT36" s="27">
        <f t="shared" si="38"/>
        <v>0</v>
      </c>
      <c r="CU36" s="27">
        <f t="shared" si="38"/>
        <v>0</v>
      </c>
      <c r="CV36" s="27">
        <f t="shared" si="38"/>
        <v>0</v>
      </c>
      <c r="CW36" s="27">
        <f t="shared" si="38"/>
        <v>0</v>
      </c>
      <c r="CX36" s="27">
        <f t="shared" si="38"/>
        <v>0</v>
      </c>
      <c r="CY36" s="27">
        <f t="shared" si="38"/>
        <v>0</v>
      </c>
      <c r="CZ36" s="27">
        <f>O36-CD36</f>
        <v>0</v>
      </c>
      <c r="DA36" s="27">
        <f>P36-CE36</f>
        <v>0</v>
      </c>
      <c r="DB36" s="27">
        <f>Q36-CF36</f>
        <v>0</v>
      </c>
      <c r="DC36" s="27">
        <f t="shared" si="40"/>
        <v>0</v>
      </c>
      <c r="DD36" s="27">
        <f t="shared" si="40"/>
        <v>0</v>
      </c>
      <c r="DE36" s="27">
        <f t="shared" si="40"/>
        <v>0</v>
      </c>
      <c r="DF36" s="27">
        <f>U36-CJ36</f>
        <v>0</v>
      </c>
      <c r="DG36" s="27">
        <f>V36-CK36</f>
        <v>0</v>
      </c>
      <c r="DH36" s="27">
        <f>W36-CL36</f>
        <v>0</v>
      </c>
      <c r="DI36" s="27"/>
      <c r="DJ36" s="27">
        <f>Y36-CN36</f>
        <v>0</v>
      </c>
      <c r="DK36" s="27">
        <f t="shared" si="43"/>
        <v>0</v>
      </c>
      <c r="DL36" s="27">
        <f>AA36-CP36</f>
        <v>0</v>
      </c>
    </row>
    <row r="37" spans="1:116" ht="20.25" customHeight="1" x14ac:dyDescent="0.25">
      <c r="A37" s="236"/>
      <c r="B37" s="229" t="s">
        <v>126</v>
      </c>
      <c r="C37" s="23" t="s">
        <v>127</v>
      </c>
      <c r="D37" s="24" t="s">
        <v>128</v>
      </c>
      <c r="E37" s="25">
        <v>410</v>
      </c>
      <c r="F37" s="26" t="s">
        <v>89</v>
      </c>
      <c r="G37" s="27">
        <f t="shared" si="29"/>
        <v>280000000</v>
      </c>
      <c r="H37" s="59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>
        <v>280000000</v>
      </c>
      <c r="U37" s="27"/>
      <c r="V37" s="27"/>
      <c r="W37" s="27"/>
      <c r="X37" s="27"/>
      <c r="Y37" s="27"/>
      <c r="Z37" s="27"/>
      <c r="AA37" s="27"/>
      <c r="AC37" s="29">
        <f t="shared" si="1"/>
        <v>0.38957300714285714</v>
      </c>
      <c r="AD37" s="27">
        <f t="shared" si="30"/>
        <v>109080442</v>
      </c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>
        <f>+'[1]JUNIO 2016'!$W$979</f>
        <v>109080442</v>
      </c>
      <c r="AR37" s="27"/>
      <c r="AS37" s="27"/>
      <c r="AT37" s="27"/>
      <c r="AU37" s="27"/>
      <c r="AV37" s="27"/>
      <c r="AW37" s="27"/>
      <c r="AX37" s="27"/>
      <c r="AY37" s="29">
        <f t="shared" si="3"/>
        <v>0.61042699285714286</v>
      </c>
      <c r="AZ37" s="27">
        <f t="shared" si="31"/>
        <v>170919558</v>
      </c>
      <c r="BA37" s="27">
        <f t="shared" si="32"/>
        <v>0</v>
      </c>
      <c r="BB37" s="27">
        <f t="shared" si="33"/>
        <v>0</v>
      </c>
      <c r="BC37" s="27">
        <f t="shared" si="33"/>
        <v>0</v>
      </c>
      <c r="BD37" s="27">
        <f t="shared" si="33"/>
        <v>0</v>
      </c>
      <c r="BE37" s="27">
        <f t="shared" ref="BE37:BP52" si="45">+L37-AI37</f>
        <v>0</v>
      </c>
      <c r="BF37" s="27">
        <f t="shared" si="45"/>
        <v>0</v>
      </c>
      <c r="BG37" s="27">
        <f t="shared" si="45"/>
        <v>0</v>
      </c>
      <c r="BH37" s="27">
        <f t="shared" si="45"/>
        <v>0</v>
      </c>
      <c r="BI37" s="27">
        <f t="shared" si="45"/>
        <v>0</v>
      </c>
      <c r="BJ37" s="27">
        <f t="shared" si="45"/>
        <v>0</v>
      </c>
      <c r="BK37" s="27">
        <f t="shared" si="45"/>
        <v>0</v>
      </c>
      <c r="BL37" s="27">
        <f t="shared" si="45"/>
        <v>0</v>
      </c>
      <c r="BM37" s="27">
        <f t="shared" si="45"/>
        <v>170919558</v>
      </c>
      <c r="BN37" s="27">
        <f t="shared" si="45"/>
        <v>0</v>
      </c>
      <c r="BO37" s="27">
        <f t="shared" si="45"/>
        <v>0</v>
      </c>
      <c r="BP37" s="27">
        <f t="shared" si="45"/>
        <v>0</v>
      </c>
      <c r="BQ37" s="27"/>
      <c r="BR37" s="27"/>
      <c r="BS37" s="27">
        <f t="shared" ref="BS37:BS57" si="46">Z37-AW37</f>
        <v>0</v>
      </c>
      <c r="BT37" s="27">
        <f t="shared" ref="BT37:BT57" si="47">+AA37-AX37</f>
        <v>0</v>
      </c>
      <c r="BU37" s="29">
        <f t="shared" si="10"/>
        <v>0.38957300714285714</v>
      </c>
      <c r="BV37" s="27">
        <f t="shared" si="36"/>
        <v>109080442</v>
      </c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>
        <f>+'[1]JUNIO 2016'!$H$977</f>
        <v>109080442</v>
      </c>
      <c r="CJ37" s="27"/>
      <c r="CK37" s="27"/>
      <c r="CL37" s="27"/>
      <c r="CM37" s="27"/>
      <c r="CN37" s="27"/>
      <c r="CO37" s="27"/>
      <c r="CP37" s="27"/>
      <c r="CQ37" s="29">
        <f t="shared" si="12"/>
        <v>0.61042699285714286</v>
      </c>
      <c r="CR37" s="27">
        <f t="shared" si="37"/>
        <v>170919558</v>
      </c>
      <c r="CS37" s="27">
        <f t="shared" si="38"/>
        <v>0</v>
      </c>
      <c r="CT37" s="27">
        <f t="shared" si="38"/>
        <v>0</v>
      </c>
      <c r="CU37" s="27">
        <f t="shared" si="38"/>
        <v>0</v>
      </c>
      <c r="CV37" s="27">
        <f t="shared" si="38"/>
        <v>0</v>
      </c>
      <c r="CW37" s="27">
        <f t="shared" si="38"/>
        <v>0</v>
      </c>
      <c r="CX37" s="27">
        <f t="shared" si="38"/>
        <v>0</v>
      </c>
      <c r="CY37" s="27">
        <f t="shared" si="38"/>
        <v>0</v>
      </c>
      <c r="CZ37" s="27">
        <f t="shared" ref="CZ37:DE48" si="48">+O37-CD37</f>
        <v>0</v>
      </c>
      <c r="DA37" s="27">
        <f t="shared" si="48"/>
        <v>0</v>
      </c>
      <c r="DB37" s="27">
        <f t="shared" si="48"/>
        <v>0</v>
      </c>
      <c r="DC37" s="27">
        <f t="shared" si="40"/>
        <v>0</v>
      </c>
      <c r="DD37" s="27">
        <f t="shared" si="40"/>
        <v>0</v>
      </c>
      <c r="DE37" s="27">
        <f t="shared" si="40"/>
        <v>170919558</v>
      </c>
      <c r="DF37" s="27">
        <f t="shared" ref="DF37:DH48" si="49">+U37-CJ37</f>
        <v>0</v>
      </c>
      <c r="DG37" s="27">
        <f t="shared" si="49"/>
        <v>0</v>
      </c>
      <c r="DH37" s="27">
        <f t="shared" si="49"/>
        <v>0</v>
      </c>
      <c r="DI37" s="27"/>
      <c r="DJ37" s="27">
        <f t="shared" ref="DJ37:DJ48" si="50">+Y37-CN37</f>
        <v>0</v>
      </c>
      <c r="DK37" s="27">
        <f t="shared" si="43"/>
        <v>0</v>
      </c>
      <c r="DL37" s="27">
        <f t="shared" ref="DL37:DL48" si="51">+AA37-CP37</f>
        <v>0</v>
      </c>
    </row>
    <row r="38" spans="1:116" ht="38.25" customHeight="1" x14ac:dyDescent="0.25">
      <c r="A38" s="236"/>
      <c r="B38" s="230"/>
      <c r="C38" s="23" t="s">
        <v>129</v>
      </c>
      <c r="D38" s="60" t="s">
        <v>130</v>
      </c>
      <c r="E38" s="25">
        <v>410</v>
      </c>
      <c r="F38" s="26" t="s">
        <v>131</v>
      </c>
      <c r="G38" s="27">
        <f t="shared" si="29"/>
        <v>193627198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>
        <v>7696735</v>
      </c>
      <c r="U38" s="27"/>
      <c r="V38" s="27">
        <v>147930463</v>
      </c>
      <c r="W38" s="27"/>
      <c r="X38" s="27"/>
      <c r="Y38" s="27"/>
      <c r="Z38" s="61"/>
      <c r="AA38" s="61">
        <f>35000000+3000000</f>
        <v>38000000</v>
      </c>
      <c r="AC38" s="29">
        <f t="shared" si="1"/>
        <v>0.31805951145355105</v>
      </c>
      <c r="AD38" s="27">
        <f t="shared" si="30"/>
        <v>61584972</v>
      </c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>
        <f>+'[1]JUNIO 2016'!$W$1028</f>
        <v>7654735</v>
      </c>
      <c r="AR38" s="27"/>
      <c r="AS38" s="27">
        <f>+'[1]JUNIO 2016'!$Y$1028</f>
        <v>41895406</v>
      </c>
      <c r="AT38" s="27"/>
      <c r="AU38" s="27"/>
      <c r="AV38" s="27"/>
      <c r="AW38" s="27"/>
      <c r="AX38" s="27">
        <f>+'[3]MAYO 2016'!$AG$900</f>
        <v>12034831</v>
      </c>
      <c r="AY38" s="29">
        <f t="shared" si="3"/>
        <v>0.68194048854644895</v>
      </c>
      <c r="AZ38" s="27">
        <f t="shared" si="31"/>
        <v>132042226</v>
      </c>
      <c r="BA38" s="27">
        <f t="shared" si="32"/>
        <v>0</v>
      </c>
      <c r="BB38" s="27">
        <f t="shared" si="33"/>
        <v>0</v>
      </c>
      <c r="BC38" s="27">
        <f t="shared" si="33"/>
        <v>0</v>
      </c>
      <c r="BD38" s="27">
        <f t="shared" si="33"/>
        <v>0</v>
      </c>
      <c r="BE38" s="27">
        <f t="shared" si="45"/>
        <v>0</v>
      </c>
      <c r="BF38" s="27">
        <f t="shared" si="45"/>
        <v>0</v>
      </c>
      <c r="BG38" s="27">
        <f t="shared" si="45"/>
        <v>0</v>
      </c>
      <c r="BH38" s="27">
        <f t="shared" si="45"/>
        <v>0</v>
      </c>
      <c r="BI38" s="27">
        <f t="shared" si="45"/>
        <v>0</v>
      </c>
      <c r="BJ38" s="27">
        <f t="shared" si="45"/>
        <v>0</v>
      </c>
      <c r="BK38" s="27">
        <f t="shared" si="45"/>
        <v>0</v>
      </c>
      <c r="BL38" s="27">
        <f t="shared" si="45"/>
        <v>0</v>
      </c>
      <c r="BM38" s="27">
        <f t="shared" si="45"/>
        <v>42000</v>
      </c>
      <c r="BN38" s="27">
        <f t="shared" si="45"/>
        <v>0</v>
      </c>
      <c r="BO38" s="27">
        <f t="shared" si="45"/>
        <v>106035057</v>
      </c>
      <c r="BP38" s="27">
        <f t="shared" si="45"/>
        <v>0</v>
      </c>
      <c r="BQ38" s="27"/>
      <c r="BR38" s="27"/>
      <c r="BS38" s="27">
        <f t="shared" si="46"/>
        <v>0</v>
      </c>
      <c r="BT38" s="27">
        <f t="shared" si="47"/>
        <v>25965169</v>
      </c>
      <c r="BU38" s="29">
        <f t="shared" si="10"/>
        <v>0.29419329303107511</v>
      </c>
      <c r="BV38" s="27">
        <f t="shared" si="36"/>
        <v>56963823</v>
      </c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>
        <f>+'[3]MAYO 2016'!$H$901+'[3]MAYO 2016'!$H$904+'[3]MAYO 2016'!$H$906+'[3]MAYO 2016'!$W$908</f>
        <v>7654735</v>
      </c>
      <c r="CJ38" s="27"/>
      <c r="CK38" s="27">
        <f>+'[1]JUNIO 2016'!$H$1026-CI38-CP38</f>
        <v>37274257</v>
      </c>
      <c r="CL38" s="27"/>
      <c r="CM38" s="27"/>
      <c r="CN38" s="27"/>
      <c r="CO38" s="27"/>
      <c r="CP38" s="27">
        <f>+'[1]JUNIO 2016'!$H$1031+'[1]JUNIO 2016'!$H$1044+'[1]JUNIO 2016'!$H$1046+'[1]JUNIO 2016'!$H$1047+'[1]JUNIO 2016'!$H$1049+'[1]JUNIO 2016'!$H$1053</f>
        <v>12034831</v>
      </c>
      <c r="CQ38" s="29">
        <f t="shared" si="12"/>
        <v>0.70580670696892489</v>
      </c>
      <c r="CR38" s="27">
        <f t="shared" si="37"/>
        <v>136663375</v>
      </c>
      <c r="CS38" s="27">
        <f t="shared" si="38"/>
        <v>0</v>
      </c>
      <c r="CT38" s="27">
        <f t="shared" si="38"/>
        <v>0</v>
      </c>
      <c r="CU38" s="27">
        <f t="shared" si="38"/>
        <v>0</v>
      </c>
      <c r="CV38" s="27">
        <f t="shared" si="38"/>
        <v>0</v>
      </c>
      <c r="CW38" s="27">
        <f t="shared" si="38"/>
        <v>0</v>
      </c>
      <c r="CX38" s="27">
        <f t="shared" si="38"/>
        <v>0</v>
      </c>
      <c r="CY38" s="27">
        <f t="shared" si="38"/>
        <v>0</v>
      </c>
      <c r="CZ38" s="27">
        <f t="shared" si="48"/>
        <v>0</v>
      </c>
      <c r="DA38" s="27">
        <f t="shared" si="48"/>
        <v>0</v>
      </c>
      <c r="DB38" s="27">
        <f t="shared" si="48"/>
        <v>0</v>
      </c>
      <c r="DC38" s="27">
        <f t="shared" si="40"/>
        <v>0</v>
      </c>
      <c r="DD38" s="27">
        <f t="shared" si="40"/>
        <v>0</v>
      </c>
      <c r="DE38" s="27">
        <f t="shared" si="40"/>
        <v>42000</v>
      </c>
      <c r="DF38" s="27">
        <f t="shared" si="49"/>
        <v>0</v>
      </c>
      <c r="DG38" s="27">
        <f t="shared" si="49"/>
        <v>110656206</v>
      </c>
      <c r="DH38" s="27">
        <f t="shared" si="49"/>
        <v>0</v>
      </c>
      <c r="DI38" s="27"/>
      <c r="DJ38" s="27">
        <f t="shared" si="50"/>
        <v>0</v>
      </c>
      <c r="DK38" s="27">
        <f t="shared" si="43"/>
        <v>0</v>
      </c>
      <c r="DL38" s="27">
        <f t="shared" si="51"/>
        <v>25965169</v>
      </c>
    </row>
    <row r="39" spans="1:116" ht="30" customHeight="1" x14ac:dyDescent="0.25">
      <c r="A39" s="236"/>
      <c r="B39" s="230"/>
      <c r="C39" s="23" t="s">
        <v>132</v>
      </c>
      <c r="D39" s="24" t="s">
        <v>133</v>
      </c>
      <c r="E39" s="25">
        <v>410</v>
      </c>
      <c r="F39" s="26" t="s">
        <v>89</v>
      </c>
      <c r="G39" s="27">
        <f t="shared" si="29"/>
        <v>200000000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>
        <v>100000000</v>
      </c>
      <c r="U39" s="27"/>
      <c r="V39" s="27"/>
      <c r="W39" s="27"/>
      <c r="X39" s="27"/>
      <c r="Y39" s="27"/>
      <c r="Z39" s="61">
        <f>62258164+37741836</f>
        <v>100000000</v>
      </c>
      <c r="AA39" s="61"/>
      <c r="AC39" s="29">
        <f t="shared" si="1"/>
        <v>0.54790000000000005</v>
      </c>
      <c r="AD39" s="27">
        <f t="shared" si="30"/>
        <v>109580000</v>
      </c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>
        <f>+'[5]ENERO 2016'!$W$352</f>
        <v>100000000</v>
      </c>
      <c r="AR39" s="27"/>
      <c r="AS39" s="27"/>
      <c r="AT39" s="27"/>
      <c r="AU39" s="27"/>
      <c r="AV39" s="27"/>
      <c r="AW39" s="27">
        <f>+'[1]JUNIO 2016'!$AF$1063</f>
        <v>9580000</v>
      </c>
      <c r="AX39" s="27"/>
      <c r="AY39" s="29">
        <f t="shared" si="3"/>
        <v>0.45209999999999995</v>
      </c>
      <c r="AZ39" s="27">
        <f t="shared" si="31"/>
        <v>90420000</v>
      </c>
      <c r="BA39" s="27">
        <f t="shared" si="32"/>
        <v>0</v>
      </c>
      <c r="BB39" s="27">
        <f t="shared" si="33"/>
        <v>0</v>
      </c>
      <c r="BC39" s="27">
        <f t="shared" si="33"/>
        <v>0</v>
      </c>
      <c r="BD39" s="27">
        <f t="shared" si="33"/>
        <v>0</v>
      </c>
      <c r="BE39" s="27">
        <f t="shared" si="45"/>
        <v>0</v>
      </c>
      <c r="BF39" s="27">
        <f t="shared" si="45"/>
        <v>0</v>
      </c>
      <c r="BG39" s="27">
        <f t="shared" si="45"/>
        <v>0</v>
      </c>
      <c r="BH39" s="27">
        <f t="shared" si="45"/>
        <v>0</v>
      </c>
      <c r="BI39" s="27">
        <f t="shared" si="45"/>
        <v>0</v>
      </c>
      <c r="BJ39" s="27">
        <f t="shared" si="45"/>
        <v>0</v>
      </c>
      <c r="BK39" s="27">
        <f t="shared" si="45"/>
        <v>0</v>
      </c>
      <c r="BL39" s="27">
        <f t="shared" si="45"/>
        <v>0</v>
      </c>
      <c r="BM39" s="27">
        <f t="shared" si="45"/>
        <v>0</v>
      </c>
      <c r="BN39" s="27">
        <f t="shared" si="45"/>
        <v>0</v>
      </c>
      <c r="BO39" s="27">
        <f t="shared" si="45"/>
        <v>0</v>
      </c>
      <c r="BP39" s="27">
        <f t="shared" si="45"/>
        <v>0</v>
      </c>
      <c r="BQ39" s="27"/>
      <c r="BR39" s="27"/>
      <c r="BS39" s="27">
        <f t="shared" si="46"/>
        <v>90420000</v>
      </c>
      <c r="BT39" s="27">
        <f t="shared" si="47"/>
        <v>0</v>
      </c>
      <c r="BU39" s="29">
        <f t="shared" si="10"/>
        <v>0.54790000000000005</v>
      </c>
      <c r="BV39" s="27">
        <f t="shared" si="36"/>
        <v>109580000</v>
      </c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>
        <f>+'[2]MARZO 2016 ULTIMO'!$H$622</f>
        <v>100000000</v>
      </c>
      <c r="CJ39" s="27"/>
      <c r="CK39" s="27"/>
      <c r="CL39" s="27"/>
      <c r="CM39" s="27"/>
      <c r="CN39" s="27"/>
      <c r="CO39" s="27">
        <f>+'[1]JUNIO 2016'!$AF$1063</f>
        <v>9580000</v>
      </c>
      <c r="CP39" s="27"/>
      <c r="CQ39" s="29">
        <f t="shared" si="12"/>
        <v>0.45209999999999995</v>
      </c>
      <c r="CR39" s="27">
        <f t="shared" si="37"/>
        <v>90420000</v>
      </c>
      <c r="CS39" s="27">
        <f t="shared" si="38"/>
        <v>0</v>
      </c>
      <c r="CT39" s="27">
        <f t="shared" si="38"/>
        <v>0</v>
      </c>
      <c r="CU39" s="27">
        <f t="shared" si="38"/>
        <v>0</v>
      </c>
      <c r="CV39" s="27">
        <f t="shared" si="38"/>
        <v>0</v>
      </c>
      <c r="CW39" s="27">
        <f t="shared" si="38"/>
        <v>0</v>
      </c>
      <c r="CX39" s="27">
        <f t="shared" si="38"/>
        <v>0</v>
      </c>
      <c r="CY39" s="27">
        <f t="shared" si="38"/>
        <v>0</v>
      </c>
      <c r="CZ39" s="27">
        <f t="shared" si="48"/>
        <v>0</v>
      </c>
      <c r="DA39" s="27">
        <f t="shared" si="48"/>
        <v>0</v>
      </c>
      <c r="DB39" s="27">
        <f t="shared" si="48"/>
        <v>0</v>
      </c>
      <c r="DC39" s="27">
        <f t="shared" si="40"/>
        <v>0</v>
      </c>
      <c r="DD39" s="27">
        <f t="shared" si="40"/>
        <v>0</v>
      </c>
      <c r="DE39" s="27">
        <f t="shared" si="40"/>
        <v>0</v>
      </c>
      <c r="DF39" s="27">
        <f t="shared" si="49"/>
        <v>0</v>
      </c>
      <c r="DG39" s="27">
        <f t="shared" si="49"/>
        <v>0</v>
      </c>
      <c r="DH39" s="27">
        <f t="shared" si="49"/>
        <v>0</v>
      </c>
      <c r="DI39" s="27"/>
      <c r="DJ39" s="27">
        <f t="shared" si="50"/>
        <v>0</v>
      </c>
      <c r="DK39" s="27">
        <f t="shared" si="43"/>
        <v>90420000</v>
      </c>
      <c r="DL39" s="27">
        <f t="shared" si="51"/>
        <v>0</v>
      </c>
    </row>
    <row r="40" spans="1:116" ht="25.5" hidden="1" customHeight="1" x14ac:dyDescent="0.25">
      <c r="A40" s="236"/>
      <c r="B40" s="231"/>
      <c r="C40" s="23" t="s">
        <v>134</v>
      </c>
      <c r="D40" s="24" t="s">
        <v>135</v>
      </c>
      <c r="E40" s="25">
        <v>410</v>
      </c>
      <c r="F40" s="26" t="s">
        <v>75</v>
      </c>
      <c r="G40" s="27">
        <f t="shared" si="29"/>
        <v>0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61"/>
      <c r="AA40" s="61">
        <f>5000000-5000000</f>
        <v>0</v>
      </c>
      <c r="AC40" s="29" t="e">
        <f t="shared" si="1"/>
        <v>#DIV/0!</v>
      </c>
      <c r="AD40" s="27">
        <f t="shared" si="30"/>
        <v>0</v>
      </c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9" t="e">
        <f t="shared" si="3"/>
        <v>#DIV/0!</v>
      </c>
      <c r="AZ40" s="27">
        <f t="shared" si="31"/>
        <v>0</v>
      </c>
      <c r="BA40" s="27">
        <f t="shared" si="32"/>
        <v>0</v>
      </c>
      <c r="BB40" s="27">
        <f t="shared" si="33"/>
        <v>0</v>
      </c>
      <c r="BC40" s="27">
        <f t="shared" si="33"/>
        <v>0</v>
      </c>
      <c r="BD40" s="27">
        <f t="shared" si="33"/>
        <v>0</v>
      </c>
      <c r="BE40" s="27">
        <f t="shared" si="45"/>
        <v>0</v>
      </c>
      <c r="BF40" s="27">
        <f t="shared" si="45"/>
        <v>0</v>
      </c>
      <c r="BG40" s="27">
        <f t="shared" si="45"/>
        <v>0</v>
      </c>
      <c r="BH40" s="27">
        <f t="shared" si="45"/>
        <v>0</v>
      </c>
      <c r="BI40" s="27">
        <f t="shared" si="45"/>
        <v>0</v>
      </c>
      <c r="BJ40" s="27">
        <f t="shared" si="45"/>
        <v>0</v>
      </c>
      <c r="BK40" s="27">
        <f t="shared" si="45"/>
        <v>0</v>
      </c>
      <c r="BL40" s="27">
        <f t="shared" si="45"/>
        <v>0</v>
      </c>
      <c r="BM40" s="27">
        <f t="shared" si="45"/>
        <v>0</v>
      </c>
      <c r="BN40" s="27">
        <f t="shared" si="45"/>
        <v>0</v>
      </c>
      <c r="BO40" s="27">
        <f t="shared" si="45"/>
        <v>0</v>
      </c>
      <c r="BP40" s="27">
        <f t="shared" si="45"/>
        <v>0</v>
      </c>
      <c r="BQ40" s="27"/>
      <c r="BR40" s="27"/>
      <c r="BS40" s="27">
        <f t="shared" si="46"/>
        <v>0</v>
      </c>
      <c r="BT40" s="27">
        <f t="shared" si="47"/>
        <v>0</v>
      </c>
      <c r="BU40" s="29" t="e">
        <f t="shared" si="10"/>
        <v>#DIV/0!</v>
      </c>
      <c r="BV40" s="27">
        <f t="shared" si="36"/>
        <v>0</v>
      </c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9" t="e">
        <f t="shared" si="12"/>
        <v>#DIV/0!</v>
      </c>
      <c r="CR40" s="27">
        <f t="shared" si="37"/>
        <v>0</v>
      </c>
      <c r="CS40" s="27">
        <f t="shared" si="38"/>
        <v>0</v>
      </c>
      <c r="CT40" s="27">
        <f t="shared" si="38"/>
        <v>0</v>
      </c>
      <c r="CU40" s="27">
        <f t="shared" si="38"/>
        <v>0</v>
      </c>
      <c r="CV40" s="27">
        <f t="shared" si="38"/>
        <v>0</v>
      </c>
      <c r="CW40" s="27">
        <f t="shared" si="38"/>
        <v>0</v>
      </c>
      <c r="CX40" s="27">
        <f t="shared" si="38"/>
        <v>0</v>
      </c>
      <c r="CY40" s="27">
        <f t="shared" si="38"/>
        <v>0</v>
      </c>
      <c r="CZ40" s="27">
        <f t="shared" si="48"/>
        <v>0</v>
      </c>
      <c r="DA40" s="27">
        <f t="shared" si="48"/>
        <v>0</v>
      </c>
      <c r="DB40" s="27">
        <f t="shared" si="48"/>
        <v>0</v>
      </c>
      <c r="DC40" s="27">
        <f t="shared" si="40"/>
        <v>0</v>
      </c>
      <c r="DD40" s="27">
        <f t="shared" si="40"/>
        <v>0</v>
      </c>
      <c r="DE40" s="27">
        <f t="shared" si="40"/>
        <v>0</v>
      </c>
      <c r="DF40" s="27">
        <f t="shared" si="49"/>
        <v>0</v>
      </c>
      <c r="DG40" s="27">
        <f t="shared" si="49"/>
        <v>0</v>
      </c>
      <c r="DH40" s="27">
        <f t="shared" si="49"/>
        <v>0</v>
      </c>
      <c r="DI40" s="27"/>
      <c r="DJ40" s="27">
        <f t="shared" si="50"/>
        <v>0</v>
      </c>
      <c r="DK40" s="27">
        <f t="shared" si="43"/>
        <v>0</v>
      </c>
      <c r="DL40" s="27">
        <f t="shared" si="51"/>
        <v>0</v>
      </c>
    </row>
    <row r="41" spans="1:116" ht="20.25" customHeight="1" x14ac:dyDescent="0.25">
      <c r="A41" s="236"/>
      <c r="B41" s="229" t="s">
        <v>136</v>
      </c>
      <c r="C41" s="23" t="s">
        <v>137</v>
      </c>
      <c r="D41" s="24" t="s">
        <v>138</v>
      </c>
      <c r="E41" s="25">
        <v>410</v>
      </c>
      <c r="F41" s="26" t="s">
        <v>89</v>
      </c>
      <c r="G41" s="27">
        <f t="shared" si="29"/>
        <v>1344000000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>
        <f>1300000000+44000000</f>
        <v>1344000000</v>
      </c>
      <c r="T41" s="27"/>
      <c r="U41" s="27"/>
      <c r="V41" s="27"/>
      <c r="W41" s="27"/>
      <c r="X41" s="27"/>
      <c r="Y41" s="27"/>
      <c r="Z41" s="61"/>
      <c r="AA41" s="61"/>
      <c r="AC41" s="29">
        <f t="shared" si="1"/>
        <v>0.96726190476190477</v>
      </c>
      <c r="AD41" s="27">
        <f t="shared" si="30"/>
        <v>1300000000</v>
      </c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>
        <f>+'[3]MAYO 2016'!$V$947</f>
        <v>1300000000</v>
      </c>
      <c r="AQ41" s="27"/>
      <c r="AR41" s="27"/>
      <c r="AS41" s="27"/>
      <c r="AT41" s="27"/>
      <c r="AU41" s="27"/>
      <c r="AV41" s="27"/>
      <c r="AW41" s="27"/>
      <c r="AX41" s="27"/>
      <c r="AY41" s="29">
        <f t="shared" si="3"/>
        <v>3.2738095238095233E-2</v>
      </c>
      <c r="AZ41" s="27">
        <f t="shared" si="31"/>
        <v>44000000</v>
      </c>
      <c r="BA41" s="27">
        <f t="shared" si="32"/>
        <v>0</v>
      </c>
      <c r="BB41" s="27">
        <f t="shared" si="33"/>
        <v>0</v>
      </c>
      <c r="BC41" s="27">
        <f t="shared" si="33"/>
        <v>0</v>
      </c>
      <c r="BD41" s="27">
        <f t="shared" si="33"/>
        <v>0</v>
      </c>
      <c r="BE41" s="27">
        <f t="shared" si="45"/>
        <v>0</v>
      </c>
      <c r="BF41" s="27">
        <f t="shared" si="45"/>
        <v>0</v>
      </c>
      <c r="BG41" s="27">
        <f t="shared" si="45"/>
        <v>0</v>
      </c>
      <c r="BH41" s="27">
        <f t="shared" si="45"/>
        <v>0</v>
      </c>
      <c r="BI41" s="27">
        <f t="shared" si="45"/>
        <v>0</v>
      </c>
      <c r="BJ41" s="27">
        <f t="shared" si="45"/>
        <v>0</v>
      </c>
      <c r="BK41" s="27">
        <f t="shared" si="45"/>
        <v>0</v>
      </c>
      <c r="BL41" s="27">
        <f t="shared" si="45"/>
        <v>44000000</v>
      </c>
      <c r="BM41" s="27">
        <f t="shared" si="45"/>
        <v>0</v>
      </c>
      <c r="BN41" s="27">
        <f t="shared" si="45"/>
        <v>0</v>
      </c>
      <c r="BO41" s="27">
        <f t="shared" si="45"/>
        <v>0</v>
      </c>
      <c r="BP41" s="27">
        <f t="shared" si="45"/>
        <v>0</v>
      </c>
      <c r="BQ41" s="27"/>
      <c r="BR41" s="27">
        <f>+Y41-AV41</f>
        <v>0</v>
      </c>
      <c r="BS41" s="27">
        <f t="shared" si="46"/>
        <v>0</v>
      </c>
      <c r="BT41" s="27">
        <f t="shared" si="47"/>
        <v>0</v>
      </c>
      <c r="BU41" s="29">
        <f t="shared" si="10"/>
        <v>0.54805981919642854</v>
      </c>
      <c r="BV41" s="27">
        <f t="shared" si="36"/>
        <v>736592397</v>
      </c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>
        <f>+'[1]JUNIO 2016'!$H$1079</f>
        <v>736592397</v>
      </c>
      <c r="CI41" s="27"/>
      <c r="CJ41" s="27"/>
      <c r="CK41" s="27"/>
      <c r="CL41" s="27"/>
      <c r="CM41" s="27"/>
      <c r="CN41" s="27"/>
      <c r="CO41" s="27"/>
      <c r="CP41" s="27"/>
      <c r="CQ41" s="29">
        <f t="shared" si="12"/>
        <v>0.45194018080357146</v>
      </c>
      <c r="CR41" s="27">
        <f t="shared" si="37"/>
        <v>607407603</v>
      </c>
      <c r="CS41" s="27">
        <f t="shared" si="38"/>
        <v>0</v>
      </c>
      <c r="CT41" s="27">
        <f t="shared" si="38"/>
        <v>0</v>
      </c>
      <c r="CU41" s="27">
        <f t="shared" si="38"/>
        <v>0</v>
      </c>
      <c r="CV41" s="27">
        <f t="shared" si="38"/>
        <v>0</v>
      </c>
      <c r="CW41" s="27">
        <f t="shared" si="38"/>
        <v>0</v>
      </c>
      <c r="CX41" s="27">
        <f t="shared" si="38"/>
        <v>0</v>
      </c>
      <c r="CY41" s="27">
        <f t="shared" si="38"/>
        <v>0</v>
      </c>
      <c r="CZ41" s="27">
        <f t="shared" si="48"/>
        <v>0</v>
      </c>
      <c r="DA41" s="27">
        <f t="shared" si="48"/>
        <v>0</v>
      </c>
      <c r="DB41" s="27">
        <f t="shared" si="48"/>
        <v>0</v>
      </c>
      <c r="DC41" s="27">
        <f t="shared" si="40"/>
        <v>0</v>
      </c>
      <c r="DD41" s="27">
        <f t="shared" si="40"/>
        <v>607407603</v>
      </c>
      <c r="DE41" s="27">
        <f t="shared" si="40"/>
        <v>0</v>
      </c>
      <c r="DF41" s="27">
        <f t="shared" si="49"/>
        <v>0</v>
      </c>
      <c r="DG41" s="27">
        <f t="shared" si="49"/>
        <v>0</v>
      </c>
      <c r="DH41" s="27">
        <f t="shared" si="49"/>
        <v>0</v>
      </c>
      <c r="DI41" s="27"/>
      <c r="DJ41" s="27">
        <f t="shared" si="50"/>
        <v>0</v>
      </c>
      <c r="DK41" s="27">
        <f t="shared" si="43"/>
        <v>0</v>
      </c>
      <c r="DL41" s="27">
        <f t="shared" si="51"/>
        <v>0</v>
      </c>
    </row>
    <row r="42" spans="1:116" ht="29.25" customHeight="1" x14ac:dyDescent="0.25">
      <c r="A42" s="236"/>
      <c r="B42" s="230"/>
      <c r="C42" s="23" t="s">
        <v>139</v>
      </c>
      <c r="D42" s="24" t="s">
        <v>140</v>
      </c>
      <c r="E42" s="25">
        <v>410</v>
      </c>
      <c r="F42" s="26" t="s">
        <v>89</v>
      </c>
      <c r="G42" s="27">
        <f t="shared" si="29"/>
        <v>96094870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>
        <f>50000000+3094870+20000000+23000000</f>
        <v>96094870</v>
      </c>
      <c r="W42" s="27"/>
      <c r="X42" s="27"/>
      <c r="Y42" s="27"/>
      <c r="Z42" s="61"/>
      <c r="AA42" s="61"/>
      <c r="AC42" s="29">
        <f t="shared" si="1"/>
        <v>0.81574458657366411</v>
      </c>
      <c r="AD42" s="27">
        <f t="shared" si="30"/>
        <v>78388870</v>
      </c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>
        <f>+'[1]JUNIO 2016'!$Y$1217</f>
        <v>78388870</v>
      </c>
      <c r="AT42" s="27"/>
      <c r="AU42" s="27"/>
      <c r="AV42" s="27"/>
      <c r="AW42" s="27"/>
      <c r="AX42" s="27"/>
      <c r="AY42" s="29">
        <f t="shared" si="3"/>
        <v>0.18425541342633589</v>
      </c>
      <c r="AZ42" s="27">
        <f t="shared" si="31"/>
        <v>17706000</v>
      </c>
      <c r="BA42" s="27">
        <f t="shared" si="32"/>
        <v>0</v>
      </c>
      <c r="BB42" s="27">
        <f t="shared" si="33"/>
        <v>0</v>
      </c>
      <c r="BC42" s="27">
        <f t="shared" si="33"/>
        <v>0</v>
      </c>
      <c r="BD42" s="27">
        <f t="shared" si="33"/>
        <v>0</v>
      </c>
      <c r="BE42" s="27">
        <f t="shared" si="45"/>
        <v>0</v>
      </c>
      <c r="BF42" s="27">
        <f t="shared" si="45"/>
        <v>0</v>
      </c>
      <c r="BG42" s="27">
        <f t="shared" si="45"/>
        <v>0</v>
      </c>
      <c r="BH42" s="27">
        <f t="shared" si="45"/>
        <v>0</v>
      </c>
      <c r="BI42" s="27">
        <f>+P42-AN42</f>
        <v>0</v>
      </c>
      <c r="BJ42" s="27">
        <f>+Q42-AO42</f>
        <v>0</v>
      </c>
      <c r="BK42" s="27">
        <f t="shared" si="45"/>
        <v>0</v>
      </c>
      <c r="BL42" s="27">
        <f t="shared" si="45"/>
        <v>0</v>
      </c>
      <c r="BM42" s="27">
        <f t="shared" si="45"/>
        <v>0</v>
      </c>
      <c r="BN42" s="27">
        <f t="shared" si="45"/>
        <v>0</v>
      </c>
      <c r="BO42" s="27">
        <f t="shared" si="45"/>
        <v>17706000</v>
      </c>
      <c r="BP42" s="27">
        <f t="shared" si="45"/>
        <v>0</v>
      </c>
      <c r="BQ42" s="27"/>
      <c r="BR42" s="27">
        <f>+Y42-AV42</f>
        <v>0</v>
      </c>
      <c r="BS42" s="27">
        <f t="shared" si="46"/>
        <v>0</v>
      </c>
      <c r="BT42" s="27">
        <f t="shared" si="47"/>
        <v>0</v>
      </c>
      <c r="BU42" s="29">
        <f t="shared" si="10"/>
        <v>0.74003816228691499</v>
      </c>
      <c r="BV42" s="27">
        <f t="shared" si="36"/>
        <v>71113871</v>
      </c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>
        <f>+'[3]MAYO 2016'!$H$1077</f>
        <v>71113871</v>
      </c>
      <c r="CL42" s="27"/>
      <c r="CM42" s="27"/>
      <c r="CN42" s="27"/>
      <c r="CO42" s="27"/>
      <c r="CP42" s="27"/>
      <c r="CQ42" s="29">
        <f t="shared" si="12"/>
        <v>0.25996183771308501</v>
      </c>
      <c r="CR42" s="27">
        <f t="shared" si="37"/>
        <v>24980999</v>
      </c>
      <c r="CS42" s="27">
        <f t="shared" si="38"/>
        <v>0</v>
      </c>
      <c r="CT42" s="27">
        <f t="shared" si="38"/>
        <v>0</v>
      </c>
      <c r="CU42" s="27">
        <f t="shared" si="38"/>
        <v>0</v>
      </c>
      <c r="CV42" s="27">
        <f t="shared" si="38"/>
        <v>0</v>
      </c>
      <c r="CW42" s="27">
        <f t="shared" si="38"/>
        <v>0</v>
      </c>
      <c r="CX42" s="27">
        <f t="shared" si="38"/>
        <v>0</v>
      </c>
      <c r="CY42" s="27">
        <f t="shared" si="38"/>
        <v>0</v>
      </c>
      <c r="CZ42" s="27">
        <f t="shared" si="48"/>
        <v>0</v>
      </c>
      <c r="DA42" s="27">
        <f t="shared" si="48"/>
        <v>0</v>
      </c>
      <c r="DB42" s="27">
        <f t="shared" si="48"/>
        <v>0</v>
      </c>
      <c r="DC42" s="27">
        <f t="shared" si="40"/>
        <v>0</v>
      </c>
      <c r="DD42" s="27">
        <f t="shared" si="40"/>
        <v>0</v>
      </c>
      <c r="DE42" s="27">
        <f t="shared" si="40"/>
        <v>0</v>
      </c>
      <c r="DF42" s="27">
        <f t="shared" si="49"/>
        <v>0</v>
      </c>
      <c r="DG42" s="27">
        <f t="shared" si="49"/>
        <v>24980999</v>
      </c>
      <c r="DH42" s="27">
        <f t="shared" si="49"/>
        <v>0</v>
      </c>
      <c r="DI42" s="27"/>
      <c r="DJ42" s="27">
        <f t="shared" si="50"/>
        <v>0</v>
      </c>
      <c r="DK42" s="27">
        <f t="shared" si="43"/>
        <v>0</v>
      </c>
      <c r="DL42" s="27">
        <f t="shared" si="51"/>
        <v>0</v>
      </c>
    </row>
    <row r="43" spans="1:116" ht="18.75" customHeight="1" x14ac:dyDescent="0.25">
      <c r="A43" s="236"/>
      <c r="B43" s="231"/>
      <c r="C43" s="23" t="s">
        <v>141</v>
      </c>
      <c r="D43" s="24" t="s">
        <v>142</v>
      </c>
      <c r="E43" s="25">
        <v>410</v>
      </c>
      <c r="F43" s="26" t="s">
        <v>89</v>
      </c>
      <c r="G43" s="27">
        <f t="shared" si="29"/>
        <v>16905130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>
        <f>20000000-3094870</f>
        <v>16905130</v>
      </c>
      <c r="W43" s="27"/>
      <c r="X43" s="27"/>
      <c r="Y43" s="27"/>
      <c r="Z43" s="61"/>
      <c r="AA43" s="61"/>
      <c r="AC43" s="29">
        <f t="shared" si="1"/>
        <v>1</v>
      </c>
      <c r="AD43" s="27">
        <f t="shared" si="30"/>
        <v>16905130</v>
      </c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>
        <f>+'[2]MARZO 2016 ULTIMO'!$Y$724</f>
        <v>16905130</v>
      </c>
      <c r="AT43" s="27"/>
      <c r="AU43" s="27"/>
      <c r="AV43" s="27"/>
      <c r="AW43" s="27"/>
      <c r="AX43" s="27"/>
      <c r="AY43" s="29">
        <f t="shared" si="3"/>
        <v>0</v>
      </c>
      <c r="AZ43" s="27">
        <f t="shared" si="31"/>
        <v>0</v>
      </c>
      <c r="BA43" s="27">
        <f t="shared" si="32"/>
        <v>0</v>
      </c>
      <c r="BB43" s="27">
        <f t="shared" si="33"/>
        <v>0</v>
      </c>
      <c r="BC43" s="27">
        <f t="shared" si="33"/>
        <v>0</v>
      </c>
      <c r="BD43" s="27">
        <f t="shared" si="33"/>
        <v>0</v>
      </c>
      <c r="BE43" s="27">
        <f t="shared" si="45"/>
        <v>0</v>
      </c>
      <c r="BF43" s="27">
        <f t="shared" si="45"/>
        <v>0</v>
      </c>
      <c r="BG43" s="27">
        <f t="shared" si="45"/>
        <v>0</v>
      </c>
      <c r="BH43" s="27">
        <f t="shared" si="45"/>
        <v>0</v>
      </c>
      <c r="BI43" s="27">
        <f>+P43-AN43</f>
        <v>0</v>
      </c>
      <c r="BJ43" s="27">
        <f>+Q43-AO43</f>
        <v>0</v>
      </c>
      <c r="BK43" s="27">
        <f t="shared" si="45"/>
        <v>0</v>
      </c>
      <c r="BL43" s="27">
        <f t="shared" si="45"/>
        <v>0</v>
      </c>
      <c r="BM43" s="27">
        <f t="shared" si="45"/>
        <v>0</v>
      </c>
      <c r="BN43" s="27"/>
      <c r="BO43" s="27">
        <f t="shared" si="45"/>
        <v>0</v>
      </c>
      <c r="BP43" s="27">
        <f t="shared" si="45"/>
        <v>0</v>
      </c>
      <c r="BQ43" s="27"/>
      <c r="BR43" s="27"/>
      <c r="BS43" s="27">
        <f t="shared" si="46"/>
        <v>0</v>
      </c>
      <c r="BT43" s="27">
        <f t="shared" si="47"/>
        <v>0</v>
      </c>
      <c r="BU43" s="29">
        <f t="shared" si="10"/>
        <v>1</v>
      </c>
      <c r="BV43" s="27">
        <f t="shared" si="36"/>
        <v>16905130</v>
      </c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>
        <f>+'[4]ABRIL 2016'!$H$929</f>
        <v>16905130</v>
      </c>
      <c r="CL43" s="27"/>
      <c r="CM43" s="27"/>
      <c r="CN43" s="27"/>
      <c r="CO43" s="27"/>
      <c r="CP43" s="27"/>
      <c r="CQ43" s="29">
        <f t="shared" si="12"/>
        <v>0</v>
      </c>
      <c r="CR43" s="27">
        <f t="shared" si="37"/>
        <v>0</v>
      </c>
      <c r="CS43" s="27">
        <f t="shared" si="38"/>
        <v>0</v>
      </c>
      <c r="CT43" s="27">
        <f t="shared" si="38"/>
        <v>0</v>
      </c>
      <c r="CU43" s="27">
        <f t="shared" si="38"/>
        <v>0</v>
      </c>
      <c r="CV43" s="27">
        <f t="shared" si="38"/>
        <v>0</v>
      </c>
      <c r="CW43" s="27">
        <f t="shared" si="38"/>
        <v>0</v>
      </c>
      <c r="CX43" s="27">
        <f t="shared" si="38"/>
        <v>0</v>
      </c>
      <c r="CY43" s="27">
        <f t="shared" si="38"/>
        <v>0</v>
      </c>
      <c r="CZ43" s="27">
        <f t="shared" si="48"/>
        <v>0</v>
      </c>
      <c r="DA43" s="27">
        <f t="shared" si="48"/>
        <v>0</v>
      </c>
      <c r="DB43" s="27">
        <f t="shared" si="48"/>
        <v>0</v>
      </c>
      <c r="DC43" s="27">
        <f t="shared" si="40"/>
        <v>0</v>
      </c>
      <c r="DD43" s="27">
        <f t="shared" si="40"/>
        <v>0</v>
      </c>
      <c r="DE43" s="27">
        <f t="shared" si="40"/>
        <v>0</v>
      </c>
      <c r="DF43" s="27">
        <f t="shared" si="49"/>
        <v>0</v>
      </c>
      <c r="DG43" s="27">
        <f t="shared" si="49"/>
        <v>0</v>
      </c>
      <c r="DH43" s="27">
        <f t="shared" si="49"/>
        <v>0</v>
      </c>
      <c r="DI43" s="27"/>
      <c r="DJ43" s="27">
        <f t="shared" si="50"/>
        <v>0</v>
      </c>
      <c r="DK43" s="27">
        <f t="shared" si="43"/>
        <v>0</v>
      </c>
      <c r="DL43" s="27">
        <f t="shared" si="51"/>
        <v>0</v>
      </c>
    </row>
    <row r="44" spans="1:116" ht="19.5" customHeight="1" x14ac:dyDescent="0.25">
      <c r="A44" s="236"/>
      <c r="B44" s="229" t="s">
        <v>143</v>
      </c>
      <c r="C44" s="23" t="s">
        <v>144</v>
      </c>
      <c r="D44" s="24" t="s">
        <v>145</v>
      </c>
      <c r="E44" s="25">
        <v>410</v>
      </c>
      <c r="F44" s="26" t="s">
        <v>89</v>
      </c>
      <c r="G44" s="27">
        <f t="shared" si="29"/>
        <v>20000000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>
        <v>20000000</v>
      </c>
      <c r="W44" s="27"/>
      <c r="X44" s="27"/>
      <c r="Y44" s="27"/>
      <c r="Z44" s="61"/>
      <c r="AA44" s="61"/>
      <c r="AC44" s="29">
        <f t="shared" si="1"/>
        <v>1</v>
      </c>
      <c r="AD44" s="27">
        <f t="shared" si="30"/>
        <v>20000000</v>
      </c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>
        <f>+'[5]ENERO 2016'!$Y$406</f>
        <v>20000000</v>
      </c>
      <c r="AT44" s="27"/>
      <c r="AU44" s="27"/>
      <c r="AV44" s="27"/>
      <c r="AW44" s="27"/>
      <c r="AX44" s="27"/>
      <c r="AY44" s="29">
        <f t="shared" si="3"/>
        <v>0</v>
      </c>
      <c r="AZ44" s="27">
        <f t="shared" si="31"/>
        <v>0</v>
      </c>
      <c r="BA44" s="27">
        <f t="shared" si="32"/>
        <v>0</v>
      </c>
      <c r="BB44" s="27">
        <f t="shared" si="33"/>
        <v>0</v>
      </c>
      <c r="BC44" s="27">
        <f t="shared" si="33"/>
        <v>0</v>
      </c>
      <c r="BD44" s="27">
        <f t="shared" si="33"/>
        <v>0</v>
      </c>
      <c r="BE44" s="27">
        <f t="shared" si="45"/>
        <v>0</v>
      </c>
      <c r="BF44" s="27">
        <f t="shared" si="45"/>
        <v>0</v>
      </c>
      <c r="BG44" s="27">
        <f t="shared" si="45"/>
        <v>0</v>
      </c>
      <c r="BH44" s="27">
        <f t="shared" si="45"/>
        <v>0</v>
      </c>
      <c r="BI44" s="27">
        <f t="shared" si="45"/>
        <v>0</v>
      </c>
      <c r="BJ44" s="27">
        <f t="shared" ref="BJ44:BJ57" si="52">+Q44-AO44</f>
        <v>0</v>
      </c>
      <c r="BK44" s="27">
        <f t="shared" si="45"/>
        <v>0</v>
      </c>
      <c r="BL44" s="27">
        <f t="shared" si="45"/>
        <v>0</v>
      </c>
      <c r="BM44" s="27">
        <f t="shared" si="45"/>
        <v>0</v>
      </c>
      <c r="BN44" s="27">
        <f>+U44-AR44</f>
        <v>0</v>
      </c>
      <c r="BO44" s="27">
        <f t="shared" si="45"/>
        <v>0</v>
      </c>
      <c r="BP44" s="27">
        <f t="shared" si="45"/>
        <v>0</v>
      </c>
      <c r="BQ44" s="27"/>
      <c r="BR44" s="27">
        <f>+Y44-AV44</f>
        <v>0</v>
      </c>
      <c r="BS44" s="27">
        <f t="shared" si="46"/>
        <v>0</v>
      </c>
      <c r="BT44" s="27">
        <f t="shared" si="47"/>
        <v>0</v>
      </c>
      <c r="BU44" s="29">
        <f t="shared" si="10"/>
        <v>0.90854349999999995</v>
      </c>
      <c r="BV44" s="27">
        <f t="shared" si="36"/>
        <v>18170870</v>
      </c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>
        <f>+'[3]MAYO 2016'!$H$1107</f>
        <v>18170870</v>
      </c>
      <c r="CL44" s="27"/>
      <c r="CM44" s="27"/>
      <c r="CN44" s="27"/>
      <c r="CO44" s="27"/>
      <c r="CP44" s="27"/>
      <c r="CQ44" s="29">
        <f t="shared" si="12"/>
        <v>9.1456500000000052E-2</v>
      </c>
      <c r="CR44" s="27">
        <f t="shared" si="37"/>
        <v>1829130</v>
      </c>
      <c r="CS44" s="27">
        <f t="shared" si="38"/>
        <v>0</v>
      </c>
      <c r="CT44" s="27">
        <f t="shared" si="38"/>
        <v>0</v>
      </c>
      <c r="CU44" s="27">
        <f t="shared" si="38"/>
        <v>0</v>
      </c>
      <c r="CV44" s="27">
        <f t="shared" si="38"/>
        <v>0</v>
      </c>
      <c r="CW44" s="27">
        <f t="shared" si="38"/>
        <v>0</v>
      </c>
      <c r="CX44" s="27">
        <f t="shared" si="38"/>
        <v>0</v>
      </c>
      <c r="CY44" s="27">
        <f t="shared" si="38"/>
        <v>0</v>
      </c>
      <c r="CZ44" s="27">
        <f t="shared" si="48"/>
        <v>0</v>
      </c>
      <c r="DA44" s="27">
        <f t="shared" si="48"/>
        <v>0</v>
      </c>
      <c r="DB44" s="27">
        <f t="shared" si="48"/>
        <v>0</v>
      </c>
      <c r="DC44" s="27">
        <f t="shared" si="40"/>
        <v>0</v>
      </c>
      <c r="DD44" s="27">
        <f t="shared" si="40"/>
        <v>0</v>
      </c>
      <c r="DE44" s="27">
        <f t="shared" si="40"/>
        <v>0</v>
      </c>
      <c r="DF44" s="27">
        <f t="shared" si="49"/>
        <v>0</v>
      </c>
      <c r="DG44" s="27">
        <f t="shared" si="49"/>
        <v>1829130</v>
      </c>
      <c r="DH44" s="27">
        <f t="shared" si="49"/>
        <v>0</v>
      </c>
      <c r="DI44" s="27"/>
      <c r="DJ44" s="27">
        <f t="shared" si="50"/>
        <v>0</v>
      </c>
      <c r="DK44" s="27">
        <f t="shared" si="43"/>
        <v>0</v>
      </c>
      <c r="DL44" s="27">
        <f t="shared" si="51"/>
        <v>0</v>
      </c>
    </row>
    <row r="45" spans="1:116" ht="33.75" customHeight="1" x14ac:dyDescent="0.25">
      <c r="A45" s="236"/>
      <c r="B45" s="230"/>
      <c r="C45" s="23" t="s">
        <v>146</v>
      </c>
      <c r="D45" s="24" t="s">
        <v>147</v>
      </c>
      <c r="E45" s="25">
        <v>410</v>
      </c>
      <c r="F45" s="26" t="s">
        <v>89</v>
      </c>
      <c r="G45" s="27">
        <f t="shared" si="29"/>
        <v>10000000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>
        <v>10000000</v>
      </c>
      <c r="W45" s="27"/>
      <c r="X45" s="27"/>
      <c r="Y45" s="27"/>
      <c r="Z45" s="61"/>
      <c r="AA45" s="61"/>
      <c r="AC45" s="29">
        <f t="shared" si="1"/>
        <v>0.92333399999999999</v>
      </c>
      <c r="AD45" s="27">
        <f t="shared" si="30"/>
        <v>9233340</v>
      </c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>
        <f>+'[3]MAYO 2016'!$G$1115</f>
        <v>9233340</v>
      </c>
      <c r="AT45" s="27"/>
      <c r="AU45" s="27"/>
      <c r="AV45" s="27"/>
      <c r="AW45" s="27"/>
      <c r="AX45" s="27"/>
      <c r="AY45" s="29">
        <f t="shared" si="3"/>
        <v>7.6666000000000012E-2</v>
      </c>
      <c r="AZ45" s="27">
        <f t="shared" si="31"/>
        <v>766660</v>
      </c>
      <c r="BA45" s="27">
        <f t="shared" si="32"/>
        <v>0</v>
      </c>
      <c r="BB45" s="27">
        <f t="shared" si="33"/>
        <v>0</v>
      </c>
      <c r="BC45" s="27">
        <f t="shared" si="33"/>
        <v>0</v>
      </c>
      <c r="BD45" s="27">
        <f t="shared" si="33"/>
        <v>0</v>
      </c>
      <c r="BE45" s="27">
        <f t="shared" si="45"/>
        <v>0</v>
      </c>
      <c r="BF45" s="27">
        <f t="shared" si="45"/>
        <v>0</v>
      </c>
      <c r="BG45" s="27">
        <f t="shared" si="45"/>
        <v>0</v>
      </c>
      <c r="BH45" s="27">
        <f t="shared" si="45"/>
        <v>0</v>
      </c>
      <c r="BI45" s="27">
        <f t="shared" si="45"/>
        <v>0</v>
      </c>
      <c r="BJ45" s="27">
        <f t="shared" si="52"/>
        <v>0</v>
      </c>
      <c r="BK45" s="27">
        <f t="shared" si="45"/>
        <v>0</v>
      </c>
      <c r="BL45" s="27">
        <f t="shared" si="45"/>
        <v>0</v>
      </c>
      <c r="BM45" s="27">
        <f t="shared" si="45"/>
        <v>0</v>
      </c>
      <c r="BN45" s="27">
        <f>+U45-AR45</f>
        <v>0</v>
      </c>
      <c r="BO45" s="27">
        <f t="shared" si="45"/>
        <v>766660</v>
      </c>
      <c r="BP45" s="27">
        <f t="shared" si="45"/>
        <v>0</v>
      </c>
      <c r="BQ45" s="27"/>
      <c r="BR45" s="27"/>
      <c r="BS45" s="27">
        <f t="shared" si="46"/>
        <v>0</v>
      </c>
      <c r="BT45" s="27">
        <f t="shared" si="47"/>
        <v>0</v>
      </c>
      <c r="BU45" s="29">
        <f t="shared" si="10"/>
        <v>0.92333399999999999</v>
      </c>
      <c r="BV45" s="27">
        <f t="shared" si="36"/>
        <v>9233340</v>
      </c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>
        <f>+'[3]MAYO 2016'!$H$1115</f>
        <v>9233340</v>
      </c>
      <c r="CL45" s="27"/>
      <c r="CM45" s="27"/>
      <c r="CN45" s="27"/>
      <c r="CO45" s="27"/>
      <c r="CP45" s="27"/>
      <c r="CQ45" s="29">
        <f t="shared" si="12"/>
        <v>7.6666000000000012E-2</v>
      </c>
      <c r="CR45" s="27">
        <f t="shared" si="37"/>
        <v>766660</v>
      </c>
      <c r="CS45" s="27">
        <f t="shared" si="38"/>
        <v>0</v>
      </c>
      <c r="CT45" s="27">
        <f t="shared" si="38"/>
        <v>0</v>
      </c>
      <c r="CU45" s="27">
        <f t="shared" si="38"/>
        <v>0</v>
      </c>
      <c r="CV45" s="27">
        <f t="shared" si="38"/>
        <v>0</v>
      </c>
      <c r="CW45" s="27">
        <f t="shared" si="38"/>
        <v>0</v>
      </c>
      <c r="CX45" s="27">
        <f t="shared" si="38"/>
        <v>0</v>
      </c>
      <c r="CY45" s="27">
        <f t="shared" si="38"/>
        <v>0</v>
      </c>
      <c r="CZ45" s="27">
        <f t="shared" si="48"/>
        <v>0</v>
      </c>
      <c r="DA45" s="27">
        <f t="shared" si="48"/>
        <v>0</v>
      </c>
      <c r="DB45" s="27">
        <f t="shared" si="48"/>
        <v>0</v>
      </c>
      <c r="DC45" s="27">
        <f t="shared" si="40"/>
        <v>0</v>
      </c>
      <c r="DD45" s="27">
        <f t="shared" si="40"/>
        <v>0</v>
      </c>
      <c r="DE45" s="27">
        <f t="shared" si="40"/>
        <v>0</v>
      </c>
      <c r="DF45" s="27">
        <f t="shared" si="49"/>
        <v>0</v>
      </c>
      <c r="DG45" s="27">
        <f t="shared" si="49"/>
        <v>766660</v>
      </c>
      <c r="DH45" s="27">
        <f t="shared" si="49"/>
        <v>0</v>
      </c>
      <c r="DI45" s="27"/>
      <c r="DJ45" s="27">
        <f t="shared" si="50"/>
        <v>0</v>
      </c>
      <c r="DK45" s="27">
        <f t="shared" si="43"/>
        <v>0</v>
      </c>
      <c r="DL45" s="27">
        <f t="shared" si="51"/>
        <v>0</v>
      </c>
    </row>
    <row r="46" spans="1:116" ht="21.75" customHeight="1" x14ac:dyDescent="0.25">
      <c r="A46" s="236"/>
      <c r="B46" s="230"/>
      <c r="C46" s="23" t="s">
        <v>148</v>
      </c>
      <c r="D46" s="24" t="s">
        <v>149</v>
      </c>
      <c r="E46" s="25">
        <v>410</v>
      </c>
      <c r="F46" s="26" t="s">
        <v>89</v>
      </c>
      <c r="G46" s="27">
        <f t="shared" si="29"/>
        <v>20000000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>
        <v>20000000</v>
      </c>
      <c r="W46" s="27"/>
      <c r="X46" s="27"/>
      <c r="Y46" s="27"/>
      <c r="Z46" s="61"/>
      <c r="AA46" s="61"/>
      <c r="AC46" s="29">
        <f t="shared" si="1"/>
        <v>0</v>
      </c>
      <c r="AD46" s="27">
        <f t="shared" si="30"/>
        <v>0</v>
      </c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9">
        <f t="shared" si="3"/>
        <v>1</v>
      </c>
      <c r="AZ46" s="27">
        <f t="shared" si="31"/>
        <v>20000000</v>
      </c>
      <c r="BA46" s="27">
        <f t="shared" si="32"/>
        <v>0</v>
      </c>
      <c r="BB46" s="27">
        <f t="shared" si="33"/>
        <v>0</v>
      </c>
      <c r="BC46" s="27">
        <f t="shared" si="33"/>
        <v>0</v>
      </c>
      <c r="BD46" s="27">
        <f t="shared" si="33"/>
        <v>0</v>
      </c>
      <c r="BE46" s="27">
        <f t="shared" si="45"/>
        <v>0</v>
      </c>
      <c r="BF46" s="27">
        <f t="shared" si="45"/>
        <v>0</v>
      </c>
      <c r="BG46" s="27">
        <f t="shared" si="45"/>
        <v>0</v>
      </c>
      <c r="BH46" s="27">
        <f t="shared" si="45"/>
        <v>0</v>
      </c>
      <c r="BI46" s="27">
        <f t="shared" si="45"/>
        <v>0</v>
      </c>
      <c r="BJ46" s="27">
        <f t="shared" si="52"/>
        <v>0</v>
      </c>
      <c r="BK46" s="27">
        <f t="shared" si="45"/>
        <v>0</v>
      </c>
      <c r="BL46" s="27">
        <f t="shared" si="45"/>
        <v>0</v>
      </c>
      <c r="BM46" s="27">
        <f t="shared" si="45"/>
        <v>0</v>
      </c>
      <c r="BN46" s="27"/>
      <c r="BO46" s="27">
        <f t="shared" si="45"/>
        <v>20000000</v>
      </c>
      <c r="BP46" s="27">
        <f t="shared" si="45"/>
        <v>0</v>
      </c>
      <c r="BQ46" s="27"/>
      <c r="BR46" s="27"/>
      <c r="BS46" s="27">
        <f t="shared" si="46"/>
        <v>0</v>
      </c>
      <c r="BT46" s="27">
        <f t="shared" si="47"/>
        <v>0</v>
      </c>
      <c r="BU46" s="29">
        <f t="shared" si="10"/>
        <v>0</v>
      </c>
      <c r="BV46" s="27">
        <f t="shared" si="36"/>
        <v>0</v>
      </c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9">
        <f t="shared" si="12"/>
        <v>1</v>
      </c>
      <c r="CR46" s="27">
        <f t="shared" si="37"/>
        <v>20000000</v>
      </c>
      <c r="CS46" s="27">
        <f t="shared" si="38"/>
        <v>0</v>
      </c>
      <c r="CT46" s="27">
        <f t="shared" si="38"/>
        <v>0</v>
      </c>
      <c r="CU46" s="27">
        <f t="shared" si="38"/>
        <v>0</v>
      </c>
      <c r="CV46" s="27">
        <f t="shared" si="38"/>
        <v>0</v>
      </c>
      <c r="CW46" s="27">
        <f t="shared" si="38"/>
        <v>0</v>
      </c>
      <c r="CX46" s="27">
        <f t="shared" si="38"/>
        <v>0</v>
      </c>
      <c r="CY46" s="27">
        <f t="shared" si="38"/>
        <v>0</v>
      </c>
      <c r="CZ46" s="27">
        <f t="shared" si="48"/>
        <v>0</v>
      </c>
      <c r="DA46" s="27">
        <f t="shared" si="48"/>
        <v>0</v>
      </c>
      <c r="DB46" s="27">
        <f t="shared" si="48"/>
        <v>0</v>
      </c>
      <c r="DC46" s="27">
        <f t="shared" si="48"/>
        <v>0</v>
      </c>
      <c r="DD46" s="27">
        <f t="shared" si="48"/>
        <v>0</v>
      </c>
      <c r="DE46" s="27">
        <f t="shared" si="48"/>
        <v>0</v>
      </c>
      <c r="DF46" s="27">
        <f t="shared" si="49"/>
        <v>0</v>
      </c>
      <c r="DG46" s="27">
        <f t="shared" si="49"/>
        <v>20000000</v>
      </c>
      <c r="DH46" s="27">
        <f t="shared" si="49"/>
        <v>0</v>
      </c>
      <c r="DI46" s="27"/>
      <c r="DJ46" s="27">
        <f t="shared" si="50"/>
        <v>0</v>
      </c>
      <c r="DK46" s="27">
        <f t="shared" ref="DK46:DK57" si="53">Z46-CO46</f>
        <v>0</v>
      </c>
      <c r="DL46" s="27">
        <f t="shared" si="51"/>
        <v>0</v>
      </c>
    </row>
    <row r="47" spans="1:116" ht="33" customHeight="1" x14ac:dyDescent="0.25">
      <c r="A47" s="236"/>
      <c r="B47" s="231"/>
      <c r="C47" s="23" t="s">
        <v>150</v>
      </c>
      <c r="D47" s="24" t="s">
        <v>151</v>
      </c>
      <c r="E47" s="25">
        <v>410</v>
      </c>
      <c r="F47" s="26" t="s">
        <v>89</v>
      </c>
      <c r="G47" s="27">
        <f t="shared" si="29"/>
        <v>13200000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>
        <v>10000000</v>
      </c>
      <c r="W47" s="27"/>
      <c r="X47" s="27"/>
      <c r="Y47" s="27"/>
      <c r="Z47" s="61"/>
      <c r="AA47" s="61">
        <f>3200000</f>
        <v>3200000</v>
      </c>
      <c r="AC47" s="29">
        <f t="shared" si="1"/>
        <v>0.24087121212121212</v>
      </c>
      <c r="AD47" s="27">
        <f t="shared" si="30"/>
        <v>3179500</v>
      </c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>
        <f>+'[4]ABRIL 2016'!$Y$961</f>
        <v>3179500</v>
      </c>
      <c r="AT47" s="27"/>
      <c r="AU47" s="27"/>
      <c r="AV47" s="27"/>
      <c r="AW47" s="27"/>
      <c r="AX47" s="27"/>
      <c r="AY47" s="29">
        <f t="shared" si="3"/>
        <v>0.7591287878787879</v>
      </c>
      <c r="AZ47" s="27">
        <f t="shared" si="31"/>
        <v>10020500</v>
      </c>
      <c r="BA47" s="27">
        <f t="shared" si="32"/>
        <v>0</v>
      </c>
      <c r="BB47" s="27">
        <f t="shared" si="33"/>
        <v>0</v>
      </c>
      <c r="BC47" s="27">
        <f t="shared" si="33"/>
        <v>0</v>
      </c>
      <c r="BD47" s="27">
        <f t="shared" si="33"/>
        <v>0</v>
      </c>
      <c r="BE47" s="27">
        <f t="shared" si="45"/>
        <v>0</v>
      </c>
      <c r="BF47" s="27">
        <f t="shared" si="45"/>
        <v>0</v>
      </c>
      <c r="BG47" s="27">
        <f t="shared" si="45"/>
        <v>0</v>
      </c>
      <c r="BH47" s="27">
        <f t="shared" si="45"/>
        <v>0</v>
      </c>
      <c r="BI47" s="27">
        <f t="shared" si="45"/>
        <v>0</v>
      </c>
      <c r="BJ47" s="27">
        <f t="shared" si="52"/>
        <v>0</v>
      </c>
      <c r="BK47" s="27">
        <f t="shared" si="45"/>
        <v>0</v>
      </c>
      <c r="BL47" s="27">
        <f t="shared" si="45"/>
        <v>0</v>
      </c>
      <c r="BM47" s="27">
        <f t="shared" si="45"/>
        <v>0</v>
      </c>
      <c r="BN47" s="27"/>
      <c r="BO47" s="27">
        <f t="shared" si="45"/>
        <v>6820500</v>
      </c>
      <c r="BP47" s="27">
        <f t="shared" si="45"/>
        <v>0</v>
      </c>
      <c r="BQ47" s="27"/>
      <c r="BR47" s="27"/>
      <c r="BS47" s="27">
        <f t="shared" si="46"/>
        <v>0</v>
      </c>
      <c r="BT47" s="27">
        <f t="shared" si="47"/>
        <v>3200000</v>
      </c>
      <c r="BU47" s="29">
        <f t="shared" si="10"/>
        <v>0.24087121212121212</v>
      </c>
      <c r="BV47" s="27">
        <f t="shared" si="36"/>
        <v>3179500</v>
      </c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>
        <f>+'[4]ABRIL 2016'!$H$959</f>
        <v>3179500</v>
      </c>
      <c r="CL47" s="27"/>
      <c r="CM47" s="27"/>
      <c r="CN47" s="27"/>
      <c r="CO47" s="27"/>
      <c r="CP47" s="27"/>
      <c r="CQ47" s="29">
        <f t="shared" si="12"/>
        <v>0.7591287878787879</v>
      </c>
      <c r="CR47" s="27">
        <f t="shared" si="37"/>
        <v>10020500</v>
      </c>
      <c r="CS47" s="27">
        <f t="shared" si="38"/>
        <v>0</v>
      </c>
      <c r="CT47" s="27">
        <f t="shared" si="38"/>
        <v>0</v>
      </c>
      <c r="CU47" s="27">
        <f t="shared" si="38"/>
        <v>0</v>
      </c>
      <c r="CV47" s="27">
        <f t="shared" si="38"/>
        <v>0</v>
      </c>
      <c r="CW47" s="27">
        <f t="shared" si="38"/>
        <v>0</v>
      </c>
      <c r="CX47" s="27">
        <f t="shared" si="38"/>
        <v>0</v>
      </c>
      <c r="CY47" s="27">
        <f t="shared" si="38"/>
        <v>0</v>
      </c>
      <c r="CZ47" s="27">
        <f t="shared" si="48"/>
        <v>0</v>
      </c>
      <c r="DA47" s="27">
        <f t="shared" si="48"/>
        <v>0</v>
      </c>
      <c r="DB47" s="27">
        <f t="shared" si="48"/>
        <v>0</v>
      </c>
      <c r="DC47" s="27">
        <f t="shared" si="48"/>
        <v>0</v>
      </c>
      <c r="DD47" s="27">
        <f t="shared" si="48"/>
        <v>0</v>
      </c>
      <c r="DE47" s="27">
        <f t="shared" si="48"/>
        <v>0</v>
      </c>
      <c r="DF47" s="27">
        <f t="shared" si="49"/>
        <v>0</v>
      </c>
      <c r="DG47" s="27">
        <f t="shared" si="49"/>
        <v>6820500</v>
      </c>
      <c r="DH47" s="27">
        <f t="shared" si="49"/>
        <v>0</v>
      </c>
      <c r="DI47" s="27"/>
      <c r="DJ47" s="27">
        <f t="shared" si="50"/>
        <v>0</v>
      </c>
      <c r="DK47" s="27">
        <f t="shared" si="53"/>
        <v>0</v>
      </c>
      <c r="DL47" s="27">
        <f t="shared" si="51"/>
        <v>3200000</v>
      </c>
    </row>
    <row r="48" spans="1:116" ht="24" customHeight="1" x14ac:dyDescent="0.25">
      <c r="A48" s="236" t="s">
        <v>85</v>
      </c>
      <c r="B48" s="229" t="s">
        <v>152</v>
      </c>
      <c r="C48" s="23" t="s">
        <v>153</v>
      </c>
      <c r="D48" s="24" t="s">
        <v>154</v>
      </c>
      <c r="E48" s="25">
        <v>410</v>
      </c>
      <c r="F48" s="26" t="s">
        <v>89</v>
      </c>
      <c r="G48" s="27">
        <f t="shared" si="29"/>
        <v>374741836</v>
      </c>
      <c r="H48" s="27"/>
      <c r="I48" s="27"/>
      <c r="J48" s="27">
        <v>270000000</v>
      </c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61">
        <v>104741836</v>
      </c>
      <c r="AA48" s="61"/>
      <c r="AC48" s="29">
        <f t="shared" si="1"/>
        <v>0.75724210840446438</v>
      </c>
      <c r="AD48" s="27">
        <f t="shared" si="30"/>
        <v>283770298</v>
      </c>
      <c r="AE48" s="27"/>
      <c r="AF48" s="27"/>
      <c r="AG48" s="27">
        <f>+'[5]ENERO 2016'!$M$432</f>
        <v>270000000</v>
      </c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>
        <f>+'[3]MAYO 2016'!$AF$1137</f>
        <v>13770298</v>
      </c>
      <c r="AX48" s="27"/>
      <c r="AY48" s="29">
        <f t="shared" si="3"/>
        <v>0.24275789159553562</v>
      </c>
      <c r="AZ48" s="27">
        <f t="shared" si="31"/>
        <v>90971538</v>
      </c>
      <c r="BA48" s="27">
        <f t="shared" si="32"/>
        <v>0</v>
      </c>
      <c r="BB48" s="27">
        <f t="shared" si="33"/>
        <v>0</v>
      </c>
      <c r="BC48" s="27">
        <f t="shared" si="33"/>
        <v>0</v>
      </c>
      <c r="BD48" s="27">
        <f t="shared" si="33"/>
        <v>0</v>
      </c>
      <c r="BE48" s="27">
        <f t="shared" si="45"/>
        <v>0</v>
      </c>
      <c r="BF48" s="27">
        <f t="shared" si="45"/>
        <v>0</v>
      </c>
      <c r="BG48" s="27">
        <f t="shared" si="45"/>
        <v>0</v>
      </c>
      <c r="BH48" s="27">
        <f t="shared" si="45"/>
        <v>0</v>
      </c>
      <c r="BI48" s="27">
        <f t="shared" si="45"/>
        <v>0</v>
      </c>
      <c r="BJ48" s="27">
        <f t="shared" si="52"/>
        <v>0</v>
      </c>
      <c r="BK48" s="27">
        <f t="shared" si="45"/>
        <v>0</v>
      </c>
      <c r="BL48" s="27">
        <f t="shared" si="45"/>
        <v>0</v>
      </c>
      <c r="BM48" s="27">
        <f t="shared" si="45"/>
        <v>0</v>
      </c>
      <c r="BN48" s="27">
        <f>+U48-AR48</f>
        <v>0</v>
      </c>
      <c r="BO48" s="27">
        <f t="shared" si="45"/>
        <v>0</v>
      </c>
      <c r="BP48" s="27">
        <f t="shared" si="45"/>
        <v>0</v>
      </c>
      <c r="BQ48" s="27"/>
      <c r="BR48" s="27"/>
      <c r="BS48" s="27">
        <f t="shared" si="46"/>
        <v>90971538</v>
      </c>
      <c r="BT48" s="27">
        <f t="shared" si="47"/>
        <v>0</v>
      </c>
      <c r="BU48" s="29">
        <f t="shared" si="10"/>
        <v>0.75724210840446438</v>
      </c>
      <c r="BV48" s="27">
        <f t="shared" si="36"/>
        <v>283770298</v>
      </c>
      <c r="BW48" s="27"/>
      <c r="BX48" s="27"/>
      <c r="BY48" s="27">
        <f>+'[5]ENERO 2016'!$H$430</f>
        <v>270000000</v>
      </c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>
        <f>+'[4]ABRIL 2016'!$H$975+'[3]MAYO 2016'!$AF$1142</f>
        <v>13770298</v>
      </c>
      <c r="CP48" s="27"/>
      <c r="CQ48" s="29">
        <f t="shared" si="12"/>
        <v>0.24275789159553562</v>
      </c>
      <c r="CR48" s="27">
        <f t="shared" si="37"/>
        <v>90971538</v>
      </c>
      <c r="CS48" s="27">
        <f t="shared" si="38"/>
        <v>0</v>
      </c>
      <c r="CT48" s="27">
        <f t="shared" si="38"/>
        <v>0</v>
      </c>
      <c r="CU48" s="27">
        <f t="shared" si="38"/>
        <v>0</v>
      </c>
      <c r="CV48" s="27">
        <f t="shared" si="38"/>
        <v>0</v>
      </c>
      <c r="CW48" s="27">
        <f t="shared" si="38"/>
        <v>0</v>
      </c>
      <c r="CX48" s="27">
        <f t="shared" si="38"/>
        <v>0</v>
      </c>
      <c r="CY48" s="27">
        <f t="shared" si="38"/>
        <v>0</v>
      </c>
      <c r="CZ48" s="27">
        <f t="shared" si="48"/>
        <v>0</v>
      </c>
      <c r="DA48" s="27">
        <f t="shared" si="48"/>
        <v>0</v>
      </c>
      <c r="DB48" s="27">
        <f t="shared" si="48"/>
        <v>0</v>
      </c>
      <c r="DC48" s="27">
        <f t="shared" ref="DC48:DE57" si="54">R48-CG48</f>
        <v>0</v>
      </c>
      <c r="DD48" s="27">
        <f t="shared" si="54"/>
        <v>0</v>
      </c>
      <c r="DE48" s="27">
        <f t="shared" si="54"/>
        <v>0</v>
      </c>
      <c r="DF48" s="27">
        <f t="shared" si="49"/>
        <v>0</v>
      </c>
      <c r="DG48" s="27">
        <f t="shared" si="49"/>
        <v>0</v>
      </c>
      <c r="DH48" s="27">
        <f t="shared" si="49"/>
        <v>0</v>
      </c>
      <c r="DI48" s="27"/>
      <c r="DJ48" s="27">
        <f t="shared" si="50"/>
        <v>0</v>
      </c>
      <c r="DK48" s="27">
        <f t="shared" si="53"/>
        <v>90971538</v>
      </c>
      <c r="DL48" s="27">
        <f t="shared" si="51"/>
        <v>0</v>
      </c>
    </row>
    <row r="49" spans="1:117" s="64" customFormat="1" ht="23.25" customHeight="1" x14ac:dyDescent="0.25">
      <c r="A49" s="236"/>
      <c r="B49" s="231"/>
      <c r="C49" s="62" t="s">
        <v>155</v>
      </c>
      <c r="D49" s="24" t="s">
        <v>156</v>
      </c>
      <c r="E49" s="25">
        <v>410</v>
      </c>
      <c r="F49" s="26" t="s">
        <v>89</v>
      </c>
      <c r="G49" s="27">
        <f t="shared" si="29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7">
        <f t="shared" si="30"/>
        <v>12528000</v>
      </c>
      <c r="AE49" s="61"/>
      <c r="AF49" s="61"/>
      <c r="AG49" s="61">
        <f>+'[4]ABRIL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3"/>
        <v>0.58240000000000003</v>
      </c>
      <c r="AZ49" s="27">
        <f t="shared" si="31"/>
        <v>17472000</v>
      </c>
      <c r="BA49" s="27">
        <f t="shared" si="32"/>
        <v>0</v>
      </c>
      <c r="BB49" s="27">
        <f t="shared" si="33"/>
        <v>0</v>
      </c>
      <c r="BC49" s="27">
        <f t="shared" si="33"/>
        <v>17472000</v>
      </c>
      <c r="BD49" s="27">
        <f t="shared" si="33"/>
        <v>0</v>
      </c>
      <c r="BE49" s="27">
        <f t="shared" si="45"/>
        <v>0</v>
      </c>
      <c r="BF49" s="27">
        <f t="shared" si="45"/>
        <v>0</v>
      </c>
      <c r="BG49" s="27">
        <f t="shared" si="45"/>
        <v>0</v>
      </c>
      <c r="BH49" s="27">
        <f t="shared" si="45"/>
        <v>0</v>
      </c>
      <c r="BI49" s="27">
        <f t="shared" si="45"/>
        <v>0</v>
      </c>
      <c r="BJ49" s="27">
        <f t="shared" si="52"/>
        <v>0</v>
      </c>
      <c r="BK49" s="27">
        <f t="shared" si="45"/>
        <v>0</v>
      </c>
      <c r="BL49" s="27">
        <f t="shared" si="45"/>
        <v>0</v>
      </c>
      <c r="BM49" s="27">
        <f t="shared" si="45"/>
        <v>0</v>
      </c>
      <c r="BN49" s="61"/>
      <c r="BO49" s="27">
        <f t="shared" si="45"/>
        <v>0</v>
      </c>
      <c r="BP49" s="27">
        <f t="shared" si="45"/>
        <v>0</v>
      </c>
      <c r="BQ49" s="27"/>
      <c r="BR49" s="61"/>
      <c r="BS49" s="27">
        <f t="shared" si="46"/>
        <v>0</v>
      </c>
      <c r="BT49" s="61">
        <f t="shared" si="47"/>
        <v>0</v>
      </c>
      <c r="BU49" s="65">
        <f t="shared" si="10"/>
        <v>0.41760000000000003</v>
      </c>
      <c r="BV49" s="27">
        <f t="shared" si="36"/>
        <v>12528000</v>
      </c>
      <c r="BW49" s="61"/>
      <c r="BX49" s="61"/>
      <c r="BY49" s="61">
        <f>+'[4]ABRIL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2"/>
        <v>0.58240000000000003</v>
      </c>
      <c r="CR49" s="27">
        <f t="shared" si="37"/>
        <v>17472000</v>
      </c>
      <c r="CS49" s="27">
        <f t="shared" si="38"/>
        <v>0</v>
      </c>
      <c r="CT49" s="27">
        <f t="shared" si="38"/>
        <v>0</v>
      </c>
      <c r="CU49" s="27">
        <f t="shared" si="38"/>
        <v>17472000</v>
      </c>
      <c r="CV49" s="27">
        <f t="shared" si="38"/>
        <v>0</v>
      </c>
      <c r="CW49" s="27">
        <f t="shared" si="38"/>
        <v>0</v>
      </c>
      <c r="CX49" s="27">
        <f t="shared" si="38"/>
        <v>0</v>
      </c>
      <c r="CY49" s="27">
        <f t="shared" si="38"/>
        <v>0</v>
      </c>
      <c r="CZ49" s="27">
        <f>O49-CD49</f>
        <v>0</v>
      </c>
      <c r="DA49" s="27">
        <f>P49-CE49</f>
        <v>0</v>
      </c>
      <c r="DB49" s="27">
        <f>Q49-CF49</f>
        <v>0</v>
      </c>
      <c r="DC49" s="27">
        <f t="shared" si="54"/>
        <v>0</v>
      </c>
      <c r="DD49" s="27">
        <f t="shared" si="54"/>
        <v>0</v>
      </c>
      <c r="DE49" s="27">
        <f t="shared" si="54"/>
        <v>0</v>
      </c>
      <c r="DF49" s="27">
        <f>U49-CJ49</f>
        <v>0</v>
      </c>
      <c r="DG49" s="27">
        <f>V49-CK49</f>
        <v>0</v>
      </c>
      <c r="DH49" s="27">
        <f>W49-CL49</f>
        <v>0</v>
      </c>
      <c r="DI49" s="27"/>
      <c r="DJ49" s="27">
        <f>Y49-CN49</f>
        <v>0</v>
      </c>
      <c r="DK49" s="27">
        <f t="shared" si="53"/>
        <v>0</v>
      </c>
      <c r="DL49" s="27">
        <f>AA49-CP49</f>
        <v>0</v>
      </c>
    </row>
    <row r="50" spans="1:117" ht="33.75" customHeight="1" x14ac:dyDescent="0.25">
      <c r="A50" s="236"/>
      <c r="B50" s="229" t="s">
        <v>157</v>
      </c>
      <c r="C50" s="23" t="s">
        <v>158</v>
      </c>
      <c r="D50" s="24" t="s">
        <v>159</v>
      </c>
      <c r="E50" s="25">
        <v>410</v>
      </c>
      <c r="F50" s="26" t="s">
        <v>89</v>
      </c>
      <c r="G50" s="27">
        <f t="shared" si="29"/>
        <v>90000000</v>
      </c>
      <c r="H50" s="52"/>
      <c r="I50" s="52"/>
      <c r="J50" s="27">
        <f>21264791</f>
        <v>21264791</v>
      </c>
      <c r="K50" s="27"/>
      <c r="L50" s="52"/>
      <c r="M50" s="39"/>
      <c r="N50" s="39"/>
      <c r="O50" s="39"/>
      <c r="P50" s="27"/>
      <c r="Q50" s="27"/>
      <c r="R50" s="27"/>
      <c r="S50" s="27"/>
      <c r="T50" s="27"/>
      <c r="U50" s="27"/>
      <c r="V50" s="27">
        <f>90000000-21264791</f>
        <v>68735209</v>
      </c>
      <c r="W50" s="27"/>
      <c r="X50" s="27"/>
      <c r="Y50" s="27"/>
      <c r="Z50" s="27"/>
      <c r="AA50" s="27"/>
      <c r="AC50" s="29">
        <f t="shared" si="1"/>
        <v>0.55555555555555558</v>
      </c>
      <c r="AD50" s="27">
        <f t="shared" si="30"/>
        <v>50000000</v>
      </c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>
        <f>+'[5]ENERO 2016'!$Y$447</f>
        <v>50000000</v>
      </c>
      <c r="AT50" s="27"/>
      <c r="AU50" s="27"/>
      <c r="AV50" s="27"/>
      <c r="AW50" s="27"/>
      <c r="AX50" s="27"/>
      <c r="AY50" s="29">
        <f t="shared" si="3"/>
        <v>0.44444444444444442</v>
      </c>
      <c r="AZ50" s="27">
        <f t="shared" si="31"/>
        <v>40000000</v>
      </c>
      <c r="BA50" s="27">
        <f t="shared" si="32"/>
        <v>0</v>
      </c>
      <c r="BB50" s="27">
        <f t="shared" si="33"/>
        <v>0</v>
      </c>
      <c r="BC50" s="27">
        <f t="shared" si="33"/>
        <v>21264791</v>
      </c>
      <c r="BD50" s="27">
        <f t="shared" si="33"/>
        <v>0</v>
      </c>
      <c r="BE50" s="27">
        <f t="shared" si="45"/>
        <v>0</v>
      </c>
      <c r="BF50" s="27">
        <f t="shared" si="45"/>
        <v>0</v>
      </c>
      <c r="BG50" s="27">
        <f t="shared" si="45"/>
        <v>0</v>
      </c>
      <c r="BH50" s="27">
        <f t="shared" si="45"/>
        <v>0</v>
      </c>
      <c r="BI50" s="27">
        <f t="shared" si="45"/>
        <v>0</v>
      </c>
      <c r="BJ50" s="27">
        <f t="shared" si="52"/>
        <v>0</v>
      </c>
      <c r="BK50" s="27">
        <f t="shared" si="45"/>
        <v>0</v>
      </c>
      <c r="BL50" s="27">
        <f t="shared" si="45"/>
        <v>0</v>
      </c>
      <c r="BM50" s="27">
        <f t="shared" si="45"/>
        <v>0</v>
      </c>
      <c r="BN50" s="27">
        <f>+U50-AR50</f>
        <v>0</v>
      </c>
      <c r="BO50" s="27">
        <f t="shared" si="45"/>
        <v>18735209</v>
      </c>
      <c r="BP50" s="27">
        <f t="shared" si="45"/>
        <v>0</v>
      </c>
      <c r="BQ50" s="27"/>
      <c r="BR50" s="27"/>
      <c r="BS50" s="27">
        <f t="shared" si="46"/>
        <v>0</v>
      </c>
      <c r="BT50" s="27">
        <f t="shared" si="47"/>
        <v>0</v>
      </c>
      <c r="BU50" s="29">
        <f t="shared" si="10"/>
        <v>0.51545852222222222</v>
      </c>
      <c r="BV50" s="27">
        <f t="shared" si="36"/>
        <v>46391267</v>
      </c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>
        <f>+'[2]MARZO 2016 ULTIMO'!$H$777</f>
        <v>46391267</v>
      </c>
      <c r="CL50" s="27"/>
      <c r="CM50" s="27"/>
      <c r="CN50" s="27"/>
      <c r="CO50" s="27"/>
      <c r="CP50" s="27"/>
      <c r="CQ50" s="29">
        <f t="shared" si="12"/>
        <v>0.48454147777777778</v>
      </c>
      <c r="CR50" s="27">
        <f t="shared" si="37"/>
        <v>43608733</v>
      </c>
      <c r="CS50" s="27">
        <f t="shared" si="38"/>
        <v>0</v>
      </c>
      <c r="CT50" s="27">
        <f t="shared" si="38"/>
        <v>0</v>
      </c>
      <c r="CU50" s="27">
        <f t="shared" si="38"/>
        <v>21264791</v>
      </c>
      <c r="CV50" s="27">
        <f t="shared" si="38"/>
        <v>0</v>
      </c>
      <c r="CW50" s="27">
        <f t="shared" si="38"/>
        <v>0</v>
      </c>
      <c r="CX50" s="27">
        <f t="shared" si="38"/>
        <v>0</v>
      </c>
      <c r="CY50" s="27">
        <f t="shared" si="38"/>
        <v>0</v>
      </c>
      <c r="CZ50" s="27">
        <f>+O50-CD50</f>
        <v>0</v>
      </c>
      <c r="DA50" s="27">
        <f>+P50-CE50</f>
        <v>0</v>
      </c>
      <c r="DB50" s="27">
        <f>+Q50-CF50</f>
        <v>0</v>
      </c>
      <c r="DC50" s="27">
        <f t="shared" si="54"/>
        <v>0</v>
      </c>
      <c r="DD50" s="27">
        <f t="shared" si="54"/>
        <v>0</v>
      </c>
      <c r="DE50" s="27">
        <f t="shared" si="54"/>
        <v>0</v>
      </c>
      <c r="DF50" s="27">
        <f>+U50-CJ50</f>
        <v>0</v>
      </c>
      <c r="DG50" s="27">
        <f>+V50-CK50</f>
        <v>22343942</v>
      </c>
      <c r="DH50" s="27">
        <f>+W50-CL50</f>
        <v>0</v>
      </c>
      <c r="DI50" s="27"/>
      <c r="DJ50" s="27">
        <f>+Y50-CN50</f>
        <v>0</v>
      </c>
      <c r="DK50" s="27">
        <f t="shared" si="53"/>
        <v>0</v>
      </c>
      <c r="DL50" s="27">
        <f>+AA50-CP50</f>
        <v>0</v>
      </c>
      <c r="DM50" s="50"/>
    </row>
    <row r="51" spans="1:117" ht="21.75" customHeight="1" x14ac:dyDescent="0.25">
      <c r="A51" s="236"/>
      <c r="B51" s="231"/>
      <c r="C51" s="23" t="s">
        <v>160</v>
      </c>
      <c r="D51" s="24" t="s">
        <v>110</v>
      </c>
      <c r="E51" s="25">
        <v>410</v>
      </c>
      <c r="F51" s="26" t="s">
        <v>75</v>
      </c>
      <c r="G51" s="27">
        <f t="shared" si="29"/>
        <v>3000000</v>
      </c>
      <c r="H51" s="52"/>
      <c r="I51" s="52"/>
      <c r="J51" s="27"/>
      <c r="K51" s="27"/>
      <c r="L51" s="52"/>
      <c r="M51" s="39"/>
      <c r="N51" s="39"/>
      <c r="O51" s="39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>
        <v>3000000</v>
      </c>
      <c r="AC51" s="29">
        <f t="shared" si="1"/>
        <v>1</v>
      </c>
      <c r="AD51" s="27">
        <f t="shared" si="30"/>
        <v>3000000</v>
      </c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>
        <f>+'[1]JUNIO 2016'!$AG$1303</f>
        <v>3000000</v>
      </c>
      <c r="AY51" s="29">
        <f t="shared" si="3"/>
        <v>0</v>
      </c>
      <c r="AZ51" s="27">
        <f t="shared" si="31"/>
        <v>0</v>
      </c>
      <c r="BA51" s="27">
        <f t="shared" si="32"/>
        <v>0</v>
      </c>
      <c r="BB51" s="27">
        <f t="shared" si="33"/>
        <v>0</v>
      </c>
      <c r="BC51" s="27">
        <f t="shared" si="33"/>
        <v>0</v>
      </c>
      <c r="BD51" s="27">
        <f t="shared" si="33"/>
        <v>0</v>
      </c>
      <c r="BE51" s="27">
        <f t="shared" si="45"/>
        <v>0</v>
      </c>
      <c r="BF51" s="27">
        <f t="shared" si="45"/>
        <v>0</v>
      </c>
      <c r="BG51" s="27">
        <f t="shared" si="45"/>
        <v>0</v>
      </c>
      <c r="BH51" s="27">
        <f t="shared" si="45"/>
        <v>0</v>
      </c>
      <c r="BI51" s="27">
        <f t="shared" si="45"/>
        <v>0</v>
      </c>
      <c r="BJ51" s="27">
        <f t="shared" si="52"/>
        <v>0</v>
      </c>
      <c r="BK51" s="27">
        <f t="shared" si="45"/>
        <v>0</v>
      </c>
      <c r="BL51" s="27">
        <f t="shared" si="45"/>
        <v>0</v>
      </c>
      <c r="BM51" s="27">
        <f t="shared" si="45"/>
        <v>0</v>
      </c>
      <c r="BN51" s="27"/>
      <c r="BO51" s="27">
        <f t="shared" si="45"/>
        <v>0</v>
      </c>
      <c r="BP51" s="27">
        <f t="shared" si="45"/>
        <v>0</v>
      </c>
      <c r="BQ51" s="27"/>
      <c r="BR51" s="27"/>
      <c r="BS51" s="27">
        <f t="shared" si="46"/>
        <v>0</v>
      </c>
      <c r="BT51" s="27">
        <f t="shared" si="47"/>
        <v>0</v>
      </c>
      <c r="BU51" s="29">
        <f t="shared" si="10"/>
        <v>1</v>
      </c>
      <c r="BV51" s="27">
        <f t="shared" si="36"/>
        <v>3000000</v>
      </c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>
        <f>+'[1]JUNIO 2016'!$AG$1303</f>
        <v>3000000</v>
      </c>
      <c r="CQ51" s="29">
        <f t="shared" si="12"/>
        <v>0</v>
      </c>
      <c r="CR51" s="27">
        <f t="shared" si="37"/>
        <v>0</v>
      </c>
      <c r="CS51" s="27">
        <f t="shared" si="38"/>
        <v>0</v>
      </c>
      <c r="CT51" s="27">
        <f t="shared" si="38"/>
        <v>0</v>
      </c>
      <c r="CU51" s="27">
        <f t="shared" si="38"/>
        <v>0</v>
      </c>
      <c r="CV51" s="27">
        <f t="shared" si="38"/>
        <v>0</v>
      </c>
      <c r="CW51" s="27">
        <f t="shared" si="38"/>
        <v>0</v>
      </c>
      <c r="CX51" s="27">
        <f t="shared" si="38"/>
        <v>0</v>
      </c>
      <c r="CY51" s="27">
        <f t="shared" si="38"/>
        <v>0</v>
      </c>
      <c r="CZ51" s="27">
        <f>O51-CD51</f>
        <v>0</v>
      </c>
      <c r="DA51" s="27">
        <f>P51-CE51</f>
        <v>0</v>
      </c>
      <c r="DB51" s="27">
        <f>Q51-CF51</f>
        <v>0</v>
      </c>
      <c r="DC51" s="27">
        <f t="shared" si="54"/>
        <v>0</v>
      </c>
      <c r="DD51" s="27">
        <f t="shared" si="54"/>
        <v>0</v>
      </c>
      <c r="DE51" s="27">
        <f t="shared" si="54"/>
        <v>0</v>
      </c>
      <c r="DF51" s="27">
        <f>U51-CJ51</f>
        <v>0</v>
      </c>
      <c r="DG51" s="27">
        <f>V51-CK51</f>
        <v>0</v>
      </c>
      <c r="DH51" s="27">
        <f>W51-CL51</f>
        <v>0</v>
      </c>
      <c r="DI51" s="27"/>
      <c r="DJ51" s="27">
        <f>Y51-CN51</f>
        <v>0</v>
      </c>
      <c r="DK51" s="27">
        <f t="shared" si="53"/>
        <v>0</v>
      </c>
      <c r="DL51" s="27">
        <f>AA51-CP51</f>
        <v>0</v>
      </c>
      <c r="DM51" s="50"/>
    </row>
    <row r="52" spans="1:117" ht="47.25" customHeight="1" x14ac:dyDescent="0.25">
      <c r="A52" s="236"/>
      <c r="B52" s="229" t="s">
        <v>161</v>
      </c>
      <c r="C52" s="23" t="s">
        <v>162</v>
      </c>
      <c r="D52" s="24" t="s">
        <v>163</v>
      </c>
      <c r="E52" s="25">
        <v>410</v>
      </c>
      <c r="F52" s="26" t="s">
        <v>164</v>
      </c>
      <c r="G52" s="27">
        <f t="shared" si="29"/>
        <v>42000000</v>
      </c>
      <c r="H52" s="27"/>
      <c r="I52" s="39"/>
      <c r="J52" s="27">
        <v>30000000</v>
      </c>
      <c r="K52" s="27"/>
      <c r="L52" s="39"/>
      <c r="M52" s="39"/>
      <c r="N52" s="39"/>
      <c r="O52" s="39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>
        <f>22000000+5000000-16000000+1000000</f>
        <v>12000000</v>
      </c>
      <c r="AC52" s="29">
        <f t="shared" si="1"/>
        <v>0.80952380952380953</v>
      </c>
      <c r="AD52" s="27">
        <f t="shared" si="30"/>
        <v>34000000</v>
      </c>
      <c r="AE52" s="27"/>
      <c r="AF52" s="27"/>
      <c r="AG52" s="27">
        <v>30000000</v>
      </c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>
        <v>4000000</v>
      </c>
      <c r="AY52" s="29">
        <f t="shared" si="3"/>
        <v>0.19047619047619047</v>
      </c>
      <c r="AZ52" s="27">
        <f t="shared" si="31"/>
        <v>8000000</v>
      </c>
      <c r="BA52" s="27">
        <f t="shared" si="32"/>
        <v>0</v>
      </c>
      <c r="BB52" s="27">
        <f t="shared" si="33"/>
        <v>0</v>
      </c>
      <c r="BC52" s="27">
        <f t="shared" si="33"/>
        <v>0</v>
      </c>
      <c r="BD52" s="27">
        <f t="shared" si="33"/>
        <v>0</v>
      </c>
      <c r="BE52" s="27">
        <f t="shared" si="45"/>
        <v>0</v>
      </c>
      <c r="BF52" s="27">
        <f t="shared" si="45"/>
        <v>0</v>
      </c>
      <c r="BG52" s="27">
        <f t="shared" si="45"/>
        <v>0</v>
      </c>
      <c r="BH52" s="27">
        <f t="shared" si="45"/>
        <v>0</v>
      </c>
      <c r="BI52" s="27">
        <f t="shared" si="45"/>
        <v>0</v>
      </c>
      <c r="BJ52" s="27">
        <f t="shared" si="52"/>
        <v>0</v>
      </c>
      <c r="BK52" s="27">
        <f t="shared" si="45"/>
        <v>0</v>
      </c>
      <c r="BL52" s="27">
        <f t="shared" si="45"/>
        <v>0</v>
      </c>
      <c r="BM52" s="27">
        <f t="shared" si="45"/>
        <v>0</v>
      </c>
      <c r="BN52" s="27">
        <f t="shared" si="45"/>
        <v>0</v>
      </c>
      <c r="BO52" s="27">
        <f t="shared" si="45"/>
        <v>0</v>
      </c>
      <c r="BP52" s="27">
        <f t="shared" si="45"/>
        <v>0</v>
      </c>
      <c r="BQ52" s="27"/>
      <c r="BR52" s="27"/>
      <c r="BS52" s="27">
        <f t="shared" si="46"/>
        <v>0</v>
      </c>
      <c r="BT52" s="27">
        <f t="shared" si="47"/>
        <v>8000000</v>
      </c>
      <c r="BU52" s="29">
        <f t="shared" si="10"/>
        <v>0.80952380952380953</v>
      </c>
      <c r="BV52" s="27">
        <f t="shared" si="36"/>
        <v>34000000</v>
      </c>
      <c r="BW52" s="27"/>
      <c r="BX52" s="27"/>
      <c r="BY52" s="27">
        <f>+'[1]JUNIO 2016'!$H$1317</f>
        <v>30000000</v>
      </c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>
        <v>4000000</v>
      </c>
      <c r="CQ52" s="29">
        <f t="shared" si="12"/>
        <v>0.19047619047619047</v>
      </c>
      <c r="CR52" s="27">
        <f t="shared" si="37"/>
        <v>8000000</v>
      </c>
      <c r="CS52" s="27">
        <f t="shared" si="38"/>
        <v>0</v>
      </c>
      <c r="CT52" s="27">
        <f t="shared" si="38"/>
        <v>0</v>
      </c>
      <c r="CU52" s="27">
        <f t="shared" si="38"/>
        <v>0</v>
      </c>
      <c r="CV52" s="27">
        <f t="shared" si="38"/>
        <v>0</v>
      </c>
      <c r="CW52" s="27">
        <f t="shared" si="38"/>
        <v>0</v>
      </c>
      <c r="CX52" s="27">
        <f t="shared" si="38"/>
        <v>0</v>
      </c>
      <c r="CY52" s="27">
        <f t="shared" si="38"/>
        <v>0</v>
      </c>
      <c r="CZ52" s="27">
        <f t="shared" ref="CZ52:DA57" si="55">+O52-CD52</f>
        <v>0</v>
      </c>
      <c r="DA52" s="27">
        <f t="shared" si="55"/>
        <v>0</v>
      </c>
      <c r="DB52" s="27">
        <f t="shared" ref="DB52:DB57" si="56">Q52-CF52</f>
        <v>0</v>
      </c>
      <c r="DC52" s="27">
        <f t="shared" si="54"/>
        <v>0</v>
      </c>
      <c r="DD52" s="27">
        <f t="shared" si="54"/>
        <v>0</v>
      </c>
      <c r="DE52" s="27">
        <f t="shared" si="54"/>
        <v>0</v>
      </c>
      <c r="DF52" s="27">
        <f t="shared" ref="DF52:DH57" si="57">+U52-CJ52</f>
        <v>0</v>
      </c>
      <c r="DG52" s="27">
        <f t="shared" si="57"/>
        <v>0</v>
      </c>
      <c r="DH52" s="27">
        <f t="shared" si="57"/>
        <v>0</v>
      </c>
      <c r="DI52" s="27"/>
      <c r="DJ52" s="27">
        <f t="shared" ref="DJ52:DJ57" si="58">+Y52-CN52</f>
        <v>0</v>
      </c>
      <c r="DK52" s="27">
        <f t="shared" si="53"/>
        <v>0</v>
      </c>
      <c r="DL52" s="27">
        <f t="shared" ref="DL52:DL57" si="59">+AA52-CP52</f>
        <v>8000000</v>
      </c>
    </row>
    <row r="53" spans="1:117" ht="24.75" customHeight="1" x14ac:dyDescent="0.25">
      <c r="A53" s="236"/>
      <c r="B53" s="230"/>
      <c r="C53" s="23" t="s">
        <v>165</v>
      </c>
      <c r="D53" s="24" t="s">
        <v>365</v>
      </c>
      <c r="E53" s="25">
        <v>410</v>
      </c>
      <c r="F53" s="26" t="s">
        <v>89</v>
      </c>
      <c r="G53" s="27">
        <f t="shared" si="29"/>
        <v>10000000</v>
      </c>
      <c r="H53" s="27"/>
      <c r="I53" s="39"/>
      <c r="J53" s="27"/>
      <c r="K53" s="27"/>
      <c r="L53" s="39"/>
      <c r="M53" s="39"/>
      <c r="N53" s="39"/>
      <c r="O53" s="39"/>
      <c r="P53" s="27"/>
      <c r="Q53" s="27"/>
      <c r="R53" s="27"/>
      <c r="S53" s="27"/>
      <c r="T53" s="27"/>
      <c r="U53" s="27"/>
      <c r="V53" s="27">
        <v>10000000</v>
      </c>
      <c r="W53" s="27"/>
      <c r="X53" s="27"/>
      <c r="Y53" s="27"/>
      <c r="Z53" s="27"/>
      <c r="AA53" s="27"/>
      <c r="AC53" s="29">
        <f t="shared" si="1"/>
        <v>1</v>
      </c>
      <c r="AD53" s="27">
        <f t="shared" si="30"/>
        <v>10000000</v>
      </c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>
        <v>10000000</v>
      </c>
      <c r="AT53" s="27"/>
      <c r="AU53" s="27"/>
      <c r="AV53" s="27"/>
      <c r="AW53" s="27"/>
      <c r="AX53" s="27"/>
      <c r="AY53" s="29">
        <f t="shared" si="3"/>
        <v>0</v>
      </c>
      <c r="AZ53" s="27">
        <f t="shared" si="31"/>
        <v>0</v>
      </c>
      <c r="BA53" s="27">
        <f t="shared" si="32"/>
        <v>0</v>
      </c>
      <c r="BB53" s="27">
        <f t="shared" si="33"/>
        <v>0</v>
      </c>
      <c r="BC53" s="27">
        <f t="shared" si="33"/>
        <v>0</v>
      </c>
      <c r="BD53" s="27">
        <f t="shared" si="33"/>
        <v>0</v>
      </c>
      <c r="BE53" s="27">
        <f t="shared" ref="BE53:BI57" si="60">+L53-AI53</f>
        <v>0</v>
      </c>
      <c r="BF53" s="27">
        <f t="shared" si="60"/>
        <v>0</v>
      </c>
      <c r="BG53" s="27">
        <f t="shared" si="60"/>
        <v>0</v>
      </c>
      <c r="BH53" s="27">
        <f t="shared" si="60"/>
        <v>0</v>
      </c>
      <c r="BI53" s="27">
        <f t="shared" si="60"/>
        <v>0</v>
      </c>
      <c r="BJ53" s="27">
        <f t="shared" si="52"/>
        <v>0</v>
      </c>
      <c r="BK53" s="27">
        <f t="shared" ref="BK53:BP57" si="61">+R53-AO53</f>
        <v>0</v>
      </c>
      <c r="BL53" s="27">
        <f t="shared" si="61"/>
        <v>0</v>
      </c>
      <c r="BM53" s="27">
        <f t="shared" si="61"/>
        <v>0</v>
      </c>
      <c r="BN53" s="27">
        <f t="shared" si="61"/>
        <v>0</v>
      </c>
      <c r="BO53" s="27">
        <f t="shared" si="61"/>
        <v>0</v>
      </c>
      <c r="BP53" s="27">
        <f t="shared" si="61"/>
        <v>0</v>
      </c>
      <c r="BQ53" s="27"/>
      <c r="BR53" s="27"/>
      <c r="BS53" s="27">
        <f t="shared" si="46"/>
        <v>0</v>
      </c>
      <c r="BT53" s="27">
        <f t="shared" si="47"/>
        <v>0</v>
      </c>
      <c r="BU53" s="29">
        <f t="shared" si="10"/>
        <v>0.9553836</v>
      </c>
      <c r="BV53" s="27">
        <f t="shared" si="36"/>
        <v>9553836</v>
      </c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>
        <f>+'[6]FEBRERO 2016'!$H$621</f>
        <v>9553836</v>
      </c>
      <c r="CL53" s="27"/>
      <c r="CM53" s="27"/>
      <c r="CN53" s="27"/>
      <c r="CO53" s="27"/>
      <c r="CP53" s="27"/>
      <c r="CQ53" s="29">
        <f t="shared" si="12"/>
        <v>4.4616400000000001E-2</v>
      </c>
      <c r="CR53" s="27">
        <f t="shared" si="37"/>
        <v>446164</v>
      </c>
      <c r="CS53" s="27">
        <f t="shared" si="38"/>
        <v>0</v>
      </c>
      <c r="CT53" s="27">
        <f t="shared" si="38"/>
        <v>0</v>
      </c>
      <c r="CU53" s="27">
        <f t="shared" si="38"/>
        <v>0</v>
      </c>
      <c r="CV53" s="27">
        <f t="shared" si="38"/>
        <v>0</v>
      </c>
      <c r="CW53" s="27">
        <f t="shared" si="38"/>
        <v>0</v>
      </c>
      <c r="CX53" s="27">
        <f t="shared" si="38"/>
        <v>0</v>
      </c>
      <c r="CY53" s="27">
        <f t="shared" si="38"/>
        <v>0</v>
      </c>
      <c r="CZ53" s="27">
        <f t="shared" si="55"/>
        <v>0</v>
      </c>
      <c r="DA53" s="27">
        <f t="shared" si="55"/>
        <v>0</v>
      </c>
      <c r="DB53" s="27">
        <f t="shared" si="56"/>
        <v>0</v>
      </c>
      <c r="DC53" s="27">
        <f t="shared" si="54"/>
        <v>0</v>
      </c>
      <c r="DD53" s="27">
        <f t="shared" si="54"/>
        <v>0</v>
      </c>
      <c r="DE53" s="27">
        <f t="shared" si="54"/>
        <v>0</v>
      </c>
      <c r="DF53" s="27">
        <f t="shared" si="57"/>
        <v>0</v>
      </c>
      <c r="DG53" s="27">
        <f t="shared" si="57"/>
        <v>446164</v>
      </c>
      <c r="DH53" s="27">
        <f t="shared" si="57"/>
        <v>0</v>
      </c>
      <c r="DI53" s="27"/>
      <c r="DJ53" s="27">
        <f t="shared" si="58"/>
        <v>0</v>
      </c>
      <c r="DK53" s="27">
        <f t="shared" si="53"/>
        <v>0</v>
      </c>
      <c r="DL53" s="27">
        <f t="shared" si="59"/>
        <v>0</v>
      </c>
    </row>
    <row r="54" spans="1:117" ht="31.5" customHeight="1" x14ac:dyDescent="0.25">
      <c r="A54" s="236"/>
      <c r="B54" s="230"/>
      <c r="C54" s="23" t="s">
        <v>166</v>
      </c>
      <c r="D54" s="24" t="s">
        <v>167</v>
      </c>
      <c r="E54" s="25">
        <v>410</v>
      </c>
      <c r="F54" s="26" t="s">
        <v>89</v>
      </c>
      <c r="G54" s="27">
        <f t="shared" si="29"/>
        <v>30000000</v>
      </c>
      <c r="H54" s="27"/>
      <c r="I54" s="39"/>
      <c r="J54" s="27">
        <f>11831904</f>
        <v>11831904</v>
      </c>
      <c r="K54" s="27"/>
      <c r="L54" s="39"/>
      <c r="M54" s="39"/>
      <c r="N54" s="39"/>
      <c r="O54" s="39"/>
      <c r="P54" s="27"/>
      <c r="Q54" s="27"/>
      <c r="R54" s="27"/>
      <c r="S54" s="27"/>
      <c r="T54" s="27"/>
      <c r="U54" s="27"/>
      <c r="V54" s="27">
        <v>18168096</v>
      </c>
      <c r="W54" s="27"/>
      <c r="X54" s="27"/>
      <c r="Y54" s="27"/>
      <c r="Z54" s="27"/>
      <c r="AA54" s="27"/>
      <c r="AC54" s="29">
        <f t="shared" si="1"/>
        <v>1</v>
      </c>
      <c r="AD54" s="27">
        <f t="shared" si="30"/>
        <v>30000000</v>
      </c>
      <c r="AE54" s="27"/>
      <c r="AF54" s="27"/>
      <c r="AG54" s="27">
        <f>+'[2]MARZO 2016 ULTIMO'!$M$817</f>
        <v>11831904</v>
      </c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>
        <v>18168096</v>
      </c>
      <c r="AT54" s="27"/>
      <c r="AU54" s="27"/>
      <c r="AV54" s="27"/>
      <c r="AW54" s="27"/>
      <c r="AX54" s="27"/>
      <c r="AY54" s="29">
        <f t="shared" si="3"/>
        <v>0</v>
      </c>
      <c r="AZ54" s="27">
        <f t="shared" si="31"/>
        <v>0</v>
      </c>
      <c r="BA54" s="27">
        <f t="shared" si="32"/>
        <v>0</v>
      </c>
      <c r="BB54" s="27">
        <f t="shared" si="33"/>
        <v>0</v>
      </c>
      <c r="BC54" s="27">
        <f t="shared" si="33"/>
        <v>0</v>
      </c>
      <c r="BD54" s="27">
        <f t="shared" si="33"/>
        <v>0</v>
      </c>
      <c r="BE54" s="27">
        <f t="shared" si="60"/>
        <v>0</v>
      </c>
      <c r="BF54" s="27">
        <f t="shared" si="60"/>
        <v>0</v>
      </c>
      <c r="BG54" s="27">
        <f t="shared" si="60"/>
        <v>0</v>
      </c>
      <c r="BH54" s="27">
        <f t="shared" si="60"/>
        <v>0</v>
      </c>
      <c r="BI54" s="27">
        <f t="shared" si="60"/>
        <v>0</v>
      </c>
      <c r="BJ54" s="27">
        <f t="shared" si="52"/>
        <v>0</v>
      </c>
      <c r="BK54" s="27">
        <f t="shared" si="61"/>
        <v>0</v>
      </c>
      <c r="BL54" s="27">
        <f t="shared" si="61"/>
        <v>0</v>
      </c>
      <c r="BM54" s="27">
        <f t="shared" si="61"/>
        <v>0</v>
      </c>
      <c r="BN54" s="27">
        <f t="shared" si="61"/>
        <v>0</v>
      </c>
      <c r="BO54" s="27">
        <f t="shared" si="61"/>
        <v>0</v>
      </c>
      <c r="BP54" s="27">
        <f t="shared" si="61"/>
        <v>0</v>
      </c>
      <c r="BQ54" s="27"/>
      <c r="BR54" s="27"/>
      <c r="BS54" s="27">
        <f t="shared" si="46"/>
        <v>0</v>
      </c>
      <c r="BT54" s="27">
        <f t="shared" si="47"/>
        <v>0</v>
      </c>
      <c r="BU54" s="29">
        <f t="shared" si="10"/>
        <v>0.87308026666666672</v>
      </c>
      <c r="BV54" s="27">
        <f t="shared" si="36"/>
        <v>26192408</v>
      </c>
      <c r="BW54" s="27"/>
      <c r="BX54" s="27"/>
      <c r="BY54" s="27">
        <f>+'[1]JUNIO 2016'!$H$1385</f>
        <v>8024312</v>
      </c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>
        <f>+'[6]FEBRERO 2016'!$H$635</f>
        <v>18168096</v>
      </c>
      <c r="CL54" s="27"/>
      <c r="CM54" s="27"/>
      <c r="CN54" s="27"/>
      <c r="CO54" s="27"/>
      <c r="CP54" s="27"/>
      <c r="CQ54" s="29">
        <f t="shared" si="12"/>
        <v>0.12691973333333328</v>
      </c>
      <c r="CR54" s="27">
        <f t="shared" si="37"/>
        <v>3807592</v>
      </c>
      <c r="CS54" s="27">
        <f t="shared" si="38"/>
        <v>0</v>
      </c>
      <c r="CT54" s="27">
        <f t="shared" si="38"/>
        <v>0</v>
      </c>
      <c r="CU54" s="27">
        <f t="shared" si="38"/>
        <v>3807592</v>
      </c>
      <c r="CV54" s="27">
        <f t="shared" si="38"/>
        <v>0</v>
      </c>
      <c r="CW54" s="27">
        <f t="shared" si="38"/>
        <v>0</v>
      </c>
      <c r="CX54" s="27">
        <f t="shared" si="38"/>
        <v>0</v>
      </c>
      <c r="CY54" s="27">
        <f t="shared" si="38"/>
        <v>0</v>
      </c>
      <c r="CZ54" s="27">
        <f t="shared" si="55"/>
        <v>0</v>
      </c>
      <c r="DA54" s="27">
        <f t="shared" si="55"/>
        <v>0</v>
      </c>
      <c r="DB54" s="27">
        <f t="shared" si="56"/>
        <v>0</v>
      </c>
      <c r="DC54" s="27">
        <f t="shared" si="54"/>
        <v>0</v>
      </c>
      <c r="DD54" s="27">
        <f t="shared" si="54"/>
        <v>0</v>
      </c>
      <c r="DE54" s="27">
        <f t="shared" si="54"/>
        <v>0</v>
      </c>
      <c r="DF54" s="27">
        <f t="shared" si="57"/>
        <v>0</v>
      </c>
      <c r="DG54" s="27">
        <f t="shared" si="57"/>
        <v>0</v>
      </c>
      <c r="DH54" s="27">
        <f t="shared" si="57"/>
        <v>0</v>
      </c>
      <c r="DI54" s="27"/>
      <c r="DJ54" s="27">
        <f t="shared" si="58"/>
        <v>0</v>
      </c>
      <c r="DK54" s="27">
        <f t="shared" si="53"/>
        <v>0</v>
      </c>
      <c r="DL54" s="27">
        <f t="shared" si="59"/>
        <v>0</v>
      </c>
    </row>
    <row r="55" spans="1:117" ht="19.5" customHeight="1" x14ac:dyDescent="0.25">
      <c r="A55" s="236"/>
      <c r="B55" s="230"/>
      <c r="C55" s="23" t="s">
        <v>168</v>
      </c>
      <c r="D55" s="24" t="s">
        <v>169</v>
      </c>
      <c r="E55" s="25">
        <v>410</v>
      </c>
      <c r="F55" s="26" t="s">
        <v>89</v>
      </c>
      <c r="G55" s="27">
        <f t="shared" si="29"/>
        <v>10000000</v>
      </c>
      <c r="H55" s="27"/>
      <c r="I55" s="39"/>
      <c r="J55" s="39"/>
      <c r="K55" s="39"/>
      <c r="L55" s="39"/>
      <c r="M55" s="39"/>
      <c r="N55" s="39"/>
      <c r="O55" s="39"/>
      <c r="P55" s="27"/>
      <c r="Q55" s="27"/>
      <c r="R55" s="27"/>
      <c r="S55" s="27"/>
      <c r="T55" s="27"/>
      <c r="U55" s="27"/>
      <c r="V55" s="27">
        <v>10000000</v>
      </c>
      <c r="W55" s="27"/>
      <c r="X55" s="27"/>
      <c r="Y55" s="27"/>
      <c r="Z55" s="27"/>
      <c r="AA55" s="27"/>
      <c r="AC55" s="29">
        <f t="shared" si="1"/>
        <v>1</v>
      </c>
      <c r="AD55" s="27">
        <f t="shared" si="30"/>
        <v>10000000</v>
      </c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>
        <f>+'[5]ENERO 2016'!$Y$478</f>
        <v>10000000</v>
      </c>
      <c r="AT55" s="27"/>
      <c r="AU55" s="27"/>
      <c r="AV55" s="27"/>
      <c r="AW55" s="27"/>
      <c r="AX55" s="27"/>
      <c r="AY55" s="29">
        <f t="shared" si="3"/>
        <v>0</v>
      </c>
      <c r="AZ55" s="27">
        <f t="shared" si="31"/>
        <v>0</v>
      </c>
      <c r="BA55" s="27">
        <f t="shared" si="32"/>
        <v>0</v>
      </c>
      <c r="BB55" s="27">
        <f t="shared" si="33"/>
        <v>0</v>
      </c>
      <c r="BC55" s="27">
        <f t="shared" si="33"/>
        <v>0</v>
      </c>
      <c r="BD55" s="27">
        <f t="shared" si="33"/>
        <v>0</v>
      </c>
      <c r="BE55" s="27">
        <f t="shared" si="60"/>
        <v>0</v>
      </c>
      <c r="BF55" s="27">
        <f t="shared" si="60"/>
        <v>0</v>
      </c>
      <c r="BG55" s="27">
        <f t="shared" si="60"/>
        <v>0</v>
      </c>
      <c r="BH55" s="27">
        <f t="shared" si="60"/>
        <v>0</v>
      </c>
      <c r="BI55" s="27">
        <f t="shared" si="60"/>
        <v>0</v>
      </c>
      <c r="BJ55" s="27">
        <f t="shared" si="52"/>
        <v>0</v>
      </c>
      <c r="BK55" s="27">
        <f t="shared" si="61"/>
        <v>0</v>
      </c>
      <c r="BL55" s="27">
        <f t="shared" si="61"/>
        <v>0</v>
      </c>
      <c r="BM55" s="27">
        <f t="shared" si="61"/>
        <v>0</v>
      </c>
      <c r="BN55" s="27">
        <f t="shared" si="61"/>
        <v>0</v>
      </c>
      <c r="BO55" s="27">
        <f t="shared" si="61"/>
        <v>0</v>
      </c>
      <c r="BP55" s="27">
        <f t="shared" si="61"/>
        <v>0</v>
      </c>
      <c r="BQ55" s="27"/>
      <c r="BR55" s="27"/>
      <c r="BS55" s="27">
        <f t="shared" si="46"/>
        <v>0</v>
      </c>
      <c r="BT55" s="27">
        <f t="shared" si="47"/>
        <v>0</v>
      </c>
      <c r="BU55" s="29">
        <f t="shared" si="10"/>
        <v>1</v>
      </c>
      <c r="BV55" s="27">
        <f t="shared" si="36"/>
        <v>10000000</v>
      </c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>
        <v>10000000</v>
      </c>
      <c r="CL55" s="27"/>
      <c r="CM55" s="27"/>
      <c r="CN55" s="27"/>
      <c r="CO55" s="27"/>
      <c r="CP55" s="27"/>
      <c r="CQ55" s="29">
        <f t="shared" si="12"/>
        <v>0</v>
      </c>
      <c r="CR55" s="27">
        <f t="shared" si="37"/>
        <v>0</v>
      </c>
      <c r="CS55" s="27">
        <f t="shared" si="38"/>
        <v>0</v>
      </c>
      <c r="CT55" s="27">
        <f t="shared" si="38"/>
        <v>0</v>
      </c>
      <c r="CU55" s="27">
        <f t="shared" si="38"/>
        <v>0</v>
      </c>
      <c r="CV55" s="27">
        <f t="shared" si="38"/>
        <v>0</v>
      </c>
      <c r="CW55" s="27">
        <f t="shared" si="38"/>
        <v>0</v>
      </c>
      <c r="CX55" s="27">
        <f t="shared" si="38"/>
        <v>0</v>
      </c>
      <c r="CY55" s="27">
        <f t="shared" si="38"/>
        <v>0</v>
      </c>
      <c r="CZ55" s="27">
        <f t="shared" si="55"/>
        <v>0</v>
      </c>
      <c r="DA55" s="27">
        <f t="shared" si="55"/>
        <v>0</v>
      </c>
      <c r="DB55" s="27">
        <f t="shared" si="56"/>
        <v>0</v>
      </c>
      <c r="DC55" s="27">
        <f t="shared" si="54"/>
        <v>0</v>
      </c>
      <c r="DD55" s="27">
        <f t="shared" si="54"/>
        <v>0</v>
      </c>
      <c r="DE55" s="27">
        <f t="shared" si="54"/>
        <v>0</v>
      </c>
      <c r="DF55" s="27">
        <f t="shared" si="57"/>
        <v>0</v>
      </c>
      <c r="DG55" s="27">
        <f t="shared" si="57"/>
        <v>0</v>
      </c>
      <c r="DH55" s="27">
        <f t="shared" si="57"/>
        <v>0</v>
      </c>
      <c r="DI55" s="27"/>
      <c r="DJ55" s="27">
        <f t="shared" si="58"/>
        <v>0</v>
      </c>
      <c r="DK55" s="27">
        <f t="shared" si="53"/>
        <v>0</v>
      </c>
      <c r="DL55" s="27">
        <f t="shared" si="59"/>
        <v>0</v>
      </c>
    </row>
    <row r="56" spans="1:117" ht="24.75" customHeight="1" x14ac:dyDescent="0.25">
      <c r="A56" s="236"/>
      <c r="B56" s="230"/>
      <c r="C56" s="23" t="s">
        <v>170</v>
      </c>
      <c r="D56" s="24" t="s">
        <v>171</v>
      </c>
      <c r="E56" s="25">
        <v>410</v>
      </c>
      <c r="F56" s="26" t="s">
        <v>89</v>
      </c>
      <c r="G56" s="27">
        <f t="shared" si="29"/>
        <v>94368590</v>
      </c>
      <c r="H56" s="27"/>
      <c r="I56" s="39"/>
      <c r="J56" s="39"/>
      <c r="K56" s="39"/>
      <c r="L56" s="39"/>
      <c r="M56" s="39">
        <f>74368590</f>
        <v>74368590</v>
      </c>
      <c r="N56" s="39"/>
      <c r="O56" s="39"/>
      <c r="P56" s="27"/>
      <c r="Q56" s="27"/>
      <c r="R56" s="27"/>
      <c r="S56" s="27"/>
      <c r="T56" s="27"/>
      <c r="U56" s="27"/>
      <c r="V56" s="27">
        <v>20000000</v>
      </c>
      <c r="W56" s="27"/>
      <c r="X56" s="27"/>
      <c r="Y56" s="27"/>
      <c r="Z56" s="27"/>
      <c r="AA56" s="27"/>
      <c r="AC56" s="29">
        <f t="shared" si="1"/>
        <v>0.19263147833405161</v>
      </c>
      <c r="AD56" s="27">
        <f t="shared" si="30"/>
        <v>18178361</v>
      </c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>
        <f>+'[1]JUNIO 2016'!$Y$1439</f>
        <v>18178361</v>
      </c>
      <c r="AT56" s="27"/>
      <c r="AU56" s="27"/>
      <c r="AV56" s="27"/>
      <c r="AW56" s="27"/>
      <c r="AX56" s="27"/>
      <c r="AY56" s="29">
        <f t="shared" si="3"/>
        <v>0.80736852166594841</v>
      </c>
      <c r="AZ56" s="27">
        <f t="shared" si="31"/>
        <v>76190229</v>
      </c>
      <c r="BA56" s="27">
        <f t="shared" si="32"/>
        <v>0</v>
      </c>
      <c r="BB56" s="27">
        <f t="shared" si="33"/>
        <v>0</v>
      </c>
      <c r="BC56" s="27">
        <f t="shared" si="33"/>
        <v>0</v>
      </c>
      <c r="BD56" s="27">
        <f t="shared" si="33"/>
        <v>0</v>
      </c>
      <c r="BE56" s="27">
        <f t="shared" si="60"/>
        <v>0</v>
      </c>
      <c r="BF56" s="27">
        <f t="shared" si="60"/>
        <v>74368590</v>
      </c>
      <c r="BG56" s="27">
        <f t="shared" si="60"/>
        <v>0</v>
      </c>
      <c r="BH56" s="27">
        <f t="shared" si="60"/>
        <v>0</v>
      </c>
      <c r="BI56" s="27">
        <f t="shared" si="60"/>
        <v>0</v>
      </c>
      <c r="BJ56" s="27">
        <f t="shared" si="52"/>
        <v>0</v>
      </c>
      <c r="BK56" s="27">
        <f t="shared" si="61"/>
        <v>0</v>
      </c>
      <c r="BL56" s="27">
        <f t="shared" si="61"/>
        <v>0</v>
      </c>
      <c r="BM56" s="27">
        <f t="shared" si="61"/>
        <v>0</v>
      </c>
      <c r="BN56" s="27">
        <f t="shared" si="61"/>
        <v>0</v>
      </c>
      <c r="BO56" s="27">
        <f t="shared" si="61"/>
        <v>1821639</v>
      </c>
      <c r="BP56" s="27">
        <f t="shared" si="61"/>
        <v>0</v>
      </c>
      <c r="BQ56" s="27"/>
      <c r="BR56" s="27"/>
      <c r="BS56" s="27">
        <f t="shared" si="46"/>
        <v>0</v>
      </c>
      <c r="BT56" s="27">
        <f t="shared" si="47"/>
        <v>0</v>
      </c>
      <c r="BU56" s="29">
        <f t="shared" si="10"/>
        <v>0.1452287037456001</v>
      </c>
      <c r="BV56" s="27">
        <f t="shared" si="36"/>
        <v>13705028</v>
      </c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>
        <f>+'[1]JUNIO 2016'!$H$1437</f>
        <v>13705028</v>
      </c>
      <c r="CL56" s="27"/>
      <c r="CM56" s="27"/>
      <c r="CN56" s="27"/>
      <c r="CO56" s="27"/>
      <c r="CP56" s="27"/>
      <c r="CQ56" s="29">
        <f t="shared" si="12"/>
        <v>0.85477129625439985</v>
      </c>
      <c r="CR56" s="27">
        <f t="shared" si="37"/>
        <v>80663562</v>
      </c>
      <c r="CS56" s="27">
        <f t="shared" si="38"/>
        <v>0</v>
      </c>
      <c r="CT56" s="27">
        <f t="shared" si="38"/>
        <v>0</v>
      </c>
      <c r="CU56" s="27">
        <f t="shared" si="38"/>
        <v>0</v>
      </c>
      <c r="CV56" s="27">
        <f t="shared" si="38"/>
        <v>0</v>
      </c>
      <c r="CW56" s="27">
        <f t="shared" si="38"/>
        <v>0</v>
      </c>
      <c r="CX56" s="27">
        <f t="shared" si="38"/>
        <v>74368590</v>
      </c>
      <c r="CY56" s="27">
        <f t="shared" si="38"/>
        <v>0</v>
      </c>
      <c r="CZ56" s="27">
        <f t="shared" si="55"/>
        <v>0</v>
      </c>
      <c r="DA56" s="27">
        <f t="shared" si="55"/>
        <v>0</v>
      </c>
      <c r="DB56" s="27">
        <f t="shared" si="56"/>
        <v>0</v>
      </c>
      <c r="DC56" s="27">
        <f t="shared" si="54"/>
        <v>0</v>
      </c>
      <c r="DD56" s="27">
        <f t="shared" si="54"/>
        <v>0</v>
      </c>
      <c r="DE56" s="27">
        <f t="shared" si="54"/>
        <v>0</v>
      </c>
      <c r="DF56" s="27">
        <f t="shared" si="57"/>
        <v>0</v>
      </c>
      <c r="DG56" s="27">
        <f t="shared" si="57"/>
        <v>6294972</v>
      </c>
      <c r="DH56" s="27">
        <f t="shared" si="57"/>
        <v>0</v>
      </c>
      <c r="DI56" s="27"/>
      <c r="DJ56" s="27">
        <f t="shared" si="58"/>
        <v>0</v>
      </c>
      <c r="DK56" s="27">
        <f t="shared" si="53"/>
        <v>0</v>
      </c>
      <c r="DL56" s="27">
        <f t="shared" si="59"/>
        <v>0</v>
      </c>
    </row>
    <row r="57" spans="1:117" ht="32.25" customHeight="1" x14ac:dyDescent="0.25">
      <c r="A57" s="237"/>
      <c r="B57" s="231"/>
      <c r="C57" s="23" t="s">
        <v>172</v>
      </c>
      <c r="D57" s="24" t="s">
        <v>173</v>
      </c>
      <c r="E57" s="25">
        <v>410</v>
      </c>
      <c r="F57" s="26" t="s">
        <v>89</v>
      </c>
      <c r="G57" s="27">
        <f t="shared" si="29"/>
        <v>16000000</v>
      </c>
      <c r="H57" s="27"/>
      <c r="I57" s="39"/>
      <c r="J57" s="39"/>
      <c r="K57" s="39"/>
      <c r="L57" s="39"/>
      <c r="M57" s="39"/>
      <c r="N57" s="39"/>
      <c r="O57" s="39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>
        <f>16000000</f>
        <v>16000000</v>
      </c>
      <c r="AC57" s="29">
        <f t="shared" si="1"/>
        <v>1</v>
      </c>
      <c r="AD57" s="27">
        <f t="shared" si="30"/>
        <v>16000000</v>
      </c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>
        <f>+'[2]MARZO 2016 ULTIMO'!$AF$846</f>
        <v>16000000</v>
      </c>
      <c r="AY57" s="29">
        <f t="shared" si="3"/>
        <v>0</v>
      </c>
      <c r="AZ57" s="27">
        <f t="shared" si="31"/>
        <v>0</v>
      </c>
      <c r="BA57" s="27">
        <f t="shared" si="32"/>
        <v>0</v>
      </c>
      <c r="BB57" s="27">
        <f t="shared" si="33"/>
        <v>0</v>
      </c>
      <c r="BC57" s="27">
        <f t="shared" si="33"/>
        <v>0</v>
      </c>
      <c r="BD57" s="27">
        <f t="shared" si="33"/>
        <v>0</v>
      </c>
      <c r="BE57" s="27">
        <f t="shared" si="60"/>
        <v>0</v>
      </c>
      <c r="BF57" s="27">
        <f t="shared" si="60"/>
        <v>0</v>
      </c>
      <c r="BG57" s="27">
        <f t="shared" si="60"/>
        <v>0</v>
      </c>
      <c r="BH57" s="27">
        <f t="shared" si="60"/>
        <v>0</v>
      </c>
      <c r="BI57" s="27">
        <f t="shared" si="60"/>
        <v>0</v>
      </c>
      <c r="BJ57" s="27">
        <f t="shared" si="52"/>
        <v>0</v>
      </c>
      <c r="BK57" s="27">
        <f t="shared" si="61"/>
        <v>0</v>
      </c>
      <c r="BL57" s="27">
        <f t="shared" si="61"/>
        <v>0</v>
      </c>
      <c r="BM57" s="27">
        <f t="shared" si="61"/>
        <v>0</v>
      </c>
      <c r="BN57" s="27">
        <f t="shared" si="61"/>
        <v>0</v>
      </c>
      <c r="BO57" s="27">
        <f t="shared" si="61"/>
        <v>0</v>
      </c>
      <c r="BP57" s="27">
        <f t="shared" si="61"/>
        <v>0</v>
      </c>
      <c r="BQ57" s="27"/>
      <c r="BR57" s="27"/>
      <c r="BS57" s="27">
        <f t="shared" si="46"/>
        <v>0</v>
      </c>
      <c r="BT57" s="27">
        <f t="shared" si="47"/>
        <v>0</v>
      </c>
      <c r="BU57" s="29">
        <f t="shared" si="10"/>
        <v>0.4375</v>
      </c>
      <c r="BV57" s="27">
        <f t="shared" si="36"/>
        <v>7000000</v>
      </c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>
        <f>+'[1]JUNIO 2016'!$H$1454</f>
        <v>7000000</v>
      </c>
      <c r="CQ57" s="29">
        <f t="shared" si="12"/>
        <v>0.5625</v>
      </c>
      <c r="CR57" s="27">
        <f t="shared" si="37"/>
        <v>9000000</v>
      </c>
      <c r="CS57" s="27">
        <f t="shared" si="38"/>
        <v>0</v>
      </c>
      <c r="CT57" s="27">
        <f t="shared" si="38"/>
        <v>0</v>
      </c>
      <c r="CU57" s="27">
        <f t="shared" si="38"/>
        <v>0</v>
      </c>
      <c r="CV57" s="27">
        <f t="shared" ref="CV57:CY57" si="62">K57-BZ57</f>
        <v>0</v>
      </c>
      <c r="CW57" s="27">
        <f t="shared" si="62"/>
        <v>0</v>
      </c>
      <c r="CX57" s="27">
        <f t="shared" si="62"/>
        <v>0</v>
      </c>
      <c r="CY57" s="27">
        <f t="shared" si="62"/>
        <v>0</v>
      </c>
      <c r="CZ57" s="27">
        <f t="shared" si="55"/>
        <v>0</v>
      </c>
      <c r="DA57" s="27">
        <f t="shared" si="55"/>
        <v>0</v>
      </c>
      <c r="DB57" s="27">
        <f t="shared" si="56"/>
        <v>0</v>
      </c>
      <c r="DC57" s="27">
        <f t="shared" si="54"/>
        <v>0</v>
      </c>
      <c r="DD57" s="27">
        <f t="shared" si="54"/>
        <v>0</v>
      </c>
      <c r="DE57" s="27">
        <f t="shared" si="54"/>
        <v>0</v>
      </c>
      <c r="DF57" s="27">
        <f t="shared" si="57"/>
        <v>0</v>
      </c>
      <c r="DG57" s="27">
        <f t="shared" si="57"/>
        <v>0</v>
      </c>
      <c r="DH57" s="27">
        <f t="shared" si="57"/>
        <v>0</v>
      </c>
      <c r="DI57" s="27"/>
      <c r="DJ57" s="27">
        <f t="shared" si="58"/>
        <v>0</v>
      </c>
      <c r="DK57" s="27">
        <f t="shared" si="53"/>
        <v>0</v>
      </c>
      <c r="DL57" s="27">
        <f t="shared" si="59"/>
        <v>9000000</v>
      </c>
    </row>
    <row r="58" spans="1:117" s="50" customFormat="1" ht="18" customHeight="1" thickBot="1" x14ac:dyDescent="0.3">
      <c r="A58" s="66"/>
      <c r="B58" s="238" t="s">
        <v>174</v>
      </c>
      <c r="C58" s="238"/>
      <c r="D58" s="238"/>
      <c r="E58" s="238"/>
      <c r="F58" s="67"/>
      <c r="G58" s="68">
        <f t="shared" ref="G58:AA58" si="63">SUM(G21:G57)</f>
        <v>4334106780</v>
      </c>
      <c r="H58" s="68">
        <f t="shared" si="63"/>
        <v>0</v>
      </c>
      <c r="I58" s="68">
        <f t="shared" si="63"/>
        <v>0</v>
      </c>
      <c r="J58" s="68">
        <f t="shared" si="63"/>
        <v>1163096695</v>
      </c>
      <c r="K58" s="68">
        <f t="shared" si="63"/>
        <v>0</v>
      </c>
      <c r="L58" s="68">
        <f t="shared" si="63"/>
        <v>0</v>
      </c>
      <c r="M58" s="68">
        <f t="shared" si="63"/>
        <v>74368590</v>
      </c>
      <c r="N58" s="68">
        <f t="shared" si="63"/>
        <v>0</v>
      </c>
      <c r="O58" s="68">
        <f t="shared" si="63"/>
        <v>0</v>
      </c>
      <c r="P58" s="68">
        <f t="shared" si="63"/>
        <v>0</v>
      </c>
      <c r="Q58" s="68">
        <f t="shared" si="63"/>
        <v>0</v>
      </c>
      <c r="R58" s="68">
        <f t="shared" si="63"/>
        <v>0</v>
      </c>
      <c r="S58" s="68">
        <f t="shared" si="63"/>
        <v>1344000000</v>
      </c>
      <c r="T58" s="68">
        <f t="shared" si="63"/>
        <v>387696735</v>
      </c>
      <c r="U58" s="68">
        <f t="shared" si="63"/>
        <v>0</v>
      </c>
      <c r="V58" s="68">
        <f t="shared" si="63"/>
        <v>1054833768</v>
      </c>
      <c r="W58" s="68">
        <f t="shared" si="63"/>
        <v>0</v>
      </c>
      <c r="X58" s="68">
        <f t="shared" si="63"/>
        <v>11169156</v>
      </c>
      <c r="Y58" s="68">
        <f t="shared" si="63"/>
        <v>0</v>
      </c>
      <c r="Z58" s="68">
        <f t="shared" si="63"/>
        <v>204741836</v>
      </c>
      <c r="AA58" s="68">
        <f t="shared" si="63"/>
        <v>94200000</v>
      </c>
      <c r="AC58" s="48">
        <f t="shared" si="1"/>
        <v>0.70007118052592143</v>
      </c>
      <c r="AD58" s="68">
        <f>SUM(AD21:AD57)</f>
        <v>3034183250</v>
      </c>
      <c r="AE58" s="68"/>
      <c r="AF58" s="68">
        <f t="shared" ref="AF58:AX58" si="64">SUM(AF21:AF57)</f>
        <v>0</v>
      </c>
      <c r="AG58" s="68">
        <f t="shared" si="64"/>
        <v>702842156</v>
      </c>
      <c r="AH58" s="68">
        <f t="shared" si="64"/>
        <v>0</v>
      </c>
      <c r="AI58" s="68">
        <f t="shared" si="64"/>
        <v>0</v>
      </c>
      <c r="AJ58" s="68">
        <f t="shared" si="64"/>
        <v>0</v>
      </c>
      <c r="AK58" s="68">
        <f t="shared" si="64"/>
        <v>0</v>
      </c>
      <c r="AL58" s="68">
        <f t="shared" si="64"/>
        <v>0</v>
      </c>
      <c r="AM58" s="68">
        <f t="shared" si="64"/>
        <v>0</v>
      </c>
      <c r="AN58" s="68">
        <f t="shared" si="64"/>
        <v>0</v>
      </c>
      <c r="AO58" s="68">
        <f t="shared" si="64"/>
        <v>0</v>
      </c>
      <c r="AP58" s="68">
        <f t="shared" si="64"/>
        <v>1300000000</v>
      </c>
      <c r="AQ58" s="68">
        <f t="shared" si="64"/>
        <v>216735177</v>
      </c>
      <c r="AR58" s="68">
        <f t="shared" si="64"/>
        <v>0</v>
      </c>
      <c r="AS58" s="68">
        <f t="shared" si="64"/>
        <v>747530233</v>
      </c>
      <c r="AT58" s="68">
        <f t="shared" si="64"/>
        <v>0</v>
      </c>
      <c r="AU58" s="68">
        <f t="shared" si="64"/>
        <v>0</v>
      </c>
      <c r="AV58" s="68">
        <f t="shared" si="64"/>
        <v>0</v>
      </c>
      <c r="AW58" s="68">
        <f t="shared" si="64"/>
        <v>23350298</v>
      </c>
      <c r="AX58" s="68">
        <f t="shared" si="64"/>
        <v>43725386</v>
      </c>
      <c r="AY58" s="48">
        <f t="shared" si="3"/>
        <v>0.29992881947407857</v>
      </c>
      <c r="AZ58" s="68">
        <f t="shared" ref="AZ58:BT58" si="65">SUM(AZ21:AZ57)</f>
        <v>1299923530</v>
      </c>
      <c r="BA58" s="68">
        <f t="shared" si="65"/>
        <v>0</v>
      </c>
      <c r="BB58" s="68">
        <f t="shared" si="65"/>
        <v>0</v>
      </c>
      <c r="BC58" s="68">
        <f t="shared" si="65"/>
        <v>460254539</v>
      </c>
      <c r="BD58" s="68">
        <f t="shared" si="65"/>
        <v>0</v>
      </c>
      <c r="BE58" s="68">
        <f t="shared" si="65"/>
        <v>0</v>
      </c>
      <c r="BF58" s="68">
        <f t="shared" si="65"/>
        <v>74368590</v>
      </c>
      <c r="BG58" s="68">
        <f t="shared" si="65"/>
        <v>0</v>
      </c>
      <c r="BH58" s="68">
        <f t="shared" si="65"/>
        <v>0</v>
      </c>
      <c r="BI58" s="68">
        <f t="shared" si="65"/>
        <v>0</v>
      </c>
      <c r="BJ58" s="68">
        <f t="shared" si="65"/>
        <v>0</v>
      </c>
      <c r="BK58" s="68">
        <f t="shared" si="65"/>
        <v>0</v>
      </c>
      <c r="BL58" s="68">
        <f t="shared" si="65"/>
        <v>44000000</v>
      </c>
      <c r="BM58" s="68">
        <f t="shared" si="65"/>
        <v>170961558</v>
      </c>
      <c r="BN58" s="68">
        <f t="shared" si="65"/>
        <v>0</v>
      </c>
      <c r="BO58" s="68">
        <f t="shared" si="65"/>
        <v>307303535</v>
      </c>
      <c r="BP58" s="68">
        <f t="shared" si="65"/>
        <v>0</v>
      </c>
      <c r="BQ58" s="68">
        <f t="shared" si="65"/>
        <v>11169156</v>
      </c>
      <c r="BR58" s="68">
        <f t="shared" si="65"/>
        <v>0</v>
      </c>
      <c r="BS58" s="68">
        <f t="shared" si="65"/>
        <v>181391538</v>
      </c>
      <c r="BT58" s="68">
        <f t="shared" si="65"/>
        <v>50474614</v>
      </c>
      <c r="BU58" s="48">
        <f t="shared" si="10"/>
        <v>0.5147910419041406</v>
      </c>
      <c r="BV58" s="68">
        <f t="shared" ref="BV58:DL58" si="66">SUM(BV21:BV57)</f>
        <v>2231159345</v>
      </c>
      <c r="BW58" s="68">
        <f t="shared" si="66"/>
        <v>0</v>
      </c>
      <c r="BX58" s="68">
        <f t="shared" si="66"/>
        <v>0</v>
      </c>
      <c r="BY58" s="68">
        <f t="shared" si="66"/>
        <v>560130573</v>
      </c>
      <c r="BZ58" s="68">
        <f t="shared" si="66"/>
        <v>0</v>
      </c>
      <c r="CA58" s="68">
        <f t="shared" si="66"/>
        <v>0</v>
      </c>
      <c r="CB58" s="68">
        <f t="shared" si="66"/>
        <v>0</v>
      </c>
      <c r="CC58" s="68">
        <f t="shared" si="66"/>
        <v>0</v>
      </c>
      <c r="CD58" s="68">
        <f t="shared" si="66"/>
        <v>0</v>
      </c>
      <c r="CE58" s="68">
        <f t="shared" si="66"/>
        <v>0</v>
      </c>
      <c r="CF58" s="68">
        <f t="shared" si="66"/>
        <v>0</v>
      </c>
      <c r="CG58" s="68">
        <f t="shared" si="66"/>
        <v>0</v>
      </c>
      <c r="CH58" s="68">
        <f t="shared" si="66"/>
        <v>736592397</v>
      </c>
      <c r="CI58" s="68">
        <f t="shared" si="66"/>
        <v>216735177</v>
      </c>
      <c r="CJ58" s="68">
        <f t="shared" si="66"/>
        <v>0</v>
      </c>
      <c r="CK58" s="68">
        <f t="shared" si="66"/>
        <v>659625514</v>
      </c>
      <c r="CL58" s="68">
        <f t="shared" si="66"/>
        <v>0</v>
      </c>
      <c r="CM58" s="68">
        <f t="shared" si="66"/>
        <v>0</v>
      </c>
      <c r="CN58" s="68">
        <f t="shared" si="66"/>
        <v>0</v>
      </c>
      <c r="CO58" s="68">
        <f t="shared" si="66"/>
        <v>23350298</v>
      </c>
      <c r="CP58" s="68">
        <f t="shared" si="66"/>
        <v>34725386</v>
      </c>
      <c r="CQ58" s="46">
        <f t="shared" ref="CQ58:CQ91" si="67">1-BU58</f>
        <v>0.4852089580958594</v>
      </c>
      <c r="CR58" s="68">
        <f t="shared" si="66"/>
        <v>2102947435</v>
      </c>
      <c r="CS58" s="68">
        <f t="shared" si="66"/>
        <v>0</v>
      </c>
      <c r="CT58" s="68">
        <f t="shared" si="66"/>
        <v>0</v>
      </c>
      <c r="CU58" s="68">
        <f t="shared" si="66"/>
        <v>602966122</v>
      </c>
      <c r="CV58" s="68">
        <f t="shared" si="66"/>
        <v>0</v>
      </c>
      <c r="CW58" s="68">
        <f t="shared" si="66"/>
        <v>0</v>
      </c>
      <c r="CX58" s="68">
        <f t="shared" si="66"/>
        <v>74368590</v>
      </c>
      <c r="CY58" s="68">
        <f t="shared" si="66"/>
        <v>0</v>
      </c>
      <c r="CZ58" s="68">
        <f t="shared" si="66"/>
        <v>0</v>
      </c>
      <c r="DA58" s="68">
        <f t="shared" si="66"/>
        <v>0</v>
      </c>
      <c r="DB58" s="68">
        <f t="shared" si="66"/>
        <v>0</v>
      </c>
      <c r="DC58" s="68">
        <f t="shared" si="66"/>
        <v>0</v>
      </c>
      <c r="DD58" s="68">
        <f t="shared" si="66"/>
        <v>607407603</v>
      </c>
      <c r="DE58" s="68">
        <f t="shared" si="66"/>
        <v>170961558</v>
      </c>
      <c r="DF58" s="68">
        <f t="shared" si="66"/>
        <v>0</v>
      </c>
      <c r="DG58" s="68">
        <f t="shared" si="66"/>
        <v>395208254</v>
      </c>
      <c r="DH58" s="68">
        <f t="shared" si="66"/>
        <v>0</v>
      </c>
      <c r="DI58" s="68">
        <f t="shared" si="66"/>
        <v>11169156</v>
      </c>
      <c r="DJ58" s="68">
        <f t="shared" si="66"/>
        <v>0</v>
      </c>
      <c r="DK58" s="68">
        <f t="shared" si="66"/>
        <v>181391538</v>
      </c>
      <c r="DL58" s="69">
        <f t="shared" si="66"/>
        <v>59474614</v>
      </c>
    </row>
    <row r="59" spans="1:117" ht="48.75" thickTop="1" x14ac:dyDescent="0.25">
      <c r="A59" s="226" t="s">
        <v>175</v>
      </c>
      <c r="B59" s="229" t="s">
        <v>176</v>
      </c>
      <c r="C59" s="23" t="s">
        <v>177</v>
      </c>
      <c r="D59" s="24" t="s">
        <v>178</v>
      </c>
      <c r="E59" s="25">
        <v>520</v>
      </c>
      <c r="F59" s="26" t="s">
        <v>179</v>
      </c>
      <c r="G59" s="27">
        <f t="shared" ref="G59:G90" si="68">SUM(H59:AA59)</f>
        <v>108000000</v>
      </c>
      <c r="H59" s="27"/>
      <c r="I59" s="27"/>
      <c r="J59" s="27"/>
      <c r="K59" s="27"/>
      <c r="L59" s="27"/>
      <c r="M59" s="27">
        <f>50000000</f>
        <v>50000000</v>
      </c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>
        <f>50000000+8000000</f>
        <v>58000000</v>
      </c>
      <c r="AC59" s="29">
        <f t="shared" si="1"/>
        <v>0.39246537962962963</v>
      </c>
      <c r="AD59" s="27">
        <f t="shared" ref="AD59:AD90" si="69">SUM(AE59:AX59)</f>
        <v>42386261</v>
      </c>
      <c r="AE59" s="27"/>
      <c r="AF59" s="27"/>
      <c r="AG59" s="27"/>
      <c r="AH59" s="27"/>
      <c r="AI59" s="27"/>
      <c r="AJ59" s="27">
        <f>+'[3]MAYO 2016'!$P$1508</f>
        <v>24212635</v>
      </c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>
        <f>+'[3]MAYO 2016'!$AG$1508</f>
        <v>18173626</v>
      </c>
      <c r="AY59" s="29">
        <f t="shared" si="3"/>
        <v>0.60753462037037043</v>
      </c>
      <c r="AZ59" s="27">
        <f t="shared" ref="AZ59:AZ90" si="70">SUM(BA59:BT59)</f>
        <v>65613739</v>
      </c>
      <c r="BA59" s="27">
        <f t="shared" ref="BA59:BA90" si="71">+H59</f>
        <v>0</v>
      </c>
      <c r="BB59" s="27">
        <f t="shared" ref="BB59:BP90" si="72">I59-AF59</f>
        <v>0</v>
      </c>
      <c r="BC59" s="27">
        <f t="shared" si="72"/>
        <v>0</v>
      </c>
      <c r="BD59" s="27">
        <f t="shared" si="72"/>
        <v>0</v>
      </c>
      <c r="BE59" s="27">
        <f t="shared" ref="BE59:BP68" si="73">+L59-AI59</f>
        <v>0</v>
      </c>
      <c r="BF59" s="27">
        <f t="shared" si="73"/>
        <v>25787365</v>
      </c>
      <c r="BG59" s="27">
        <f t="shared" si="73"/>
        <v>0</v>
      </c>
      <c r="BH59" s="27">
        <f t="shared" si="73"/>
        <v>0</v>
      </c>
      <c r="BI59" s="27">
        <f t="shared" si="73"/>
        <v>0</v>
      </c>
      <c r="BJ59" s="27">
        <f t="shared" si="73"/>
        <v>0</v>
      </c>
      <c r="BK59" s="27">
        <f t="shared" si="73"/>
        <v>0</v>
      </c>
      <c r="BL59" s="27">
        <f t="shared" si="73"/>
        <v>0</v>
      </c>
      <c r="BM59" s="27">
        <f t="shared" si="73"/>
        <v>0</v>
      </c>
      <c r="BN59" s="27">
        <f t="shared" si="73"/>
        <v>0</v>
      </c>
      <c r="BO59" s="27">
        <f t="shared" si="73"/>
        <v>0</v>
      </c>
      <c r="BP59" s="27">
        <f t="shared" si="73"/>
        <v>0</v>
      </c>
      <c r="BQ59" s="27"/>
      <c r="BR59" s="27"/>
      <c r="BS59" s="27">
        <f t="shared" ref="BS59:BS90" si="74">Z59-AW59</f>
        <v>0</v>
      </c>
      <c r="BT59" s="27">
        <f t="shared" ref="BT59:BT68" si="75">+AA59-AX59</f>
        <v>39826374</v>
      </c>
      <c r="BU59" s="29">
        <f t="shared" si="10"/>
        <v>0.39246537962962963</v>
      </c>
      <c r="BV59" s="27">
        <f t="shared" ref="BV59:BV90" si="76">SUM(BW59:CP59)</f>
        <v>42386261</v>
      </c>
      <c r="BW59" s="27"/>
      <c r="BX59" s="27"/>
      <c r="BY59" s="27"/>
      <c r="BZ59" s="27"/>
      <c r="CA59" s="27"/>
      <c r="CB59" s="27">
        <f>+'[1]JUNIO 2016'!$H$1742+'[1]JUNIO 2016'!$H$1748+'[1]JUNIO 2016'!$H$1749+'[1]JUNIO 2016'!$H$1752+'[1]JUNIO 2016'!$H$1753+'[1]JUNIO 2016'!$H$1757+'[1]JUNIO 2016'!$H$1758+'[1]JUNIO 2016'!$H$1759+'[1]JUNIO 2016'!$H$1760+'[1]JUNIO 2016'!$H$1761+'[1]JUNIO 2016'!$H$1765+'[1]JUNIO 2016'!$H$1766+'[1]JUNIO 2016'!$H$1767+'[1]JUNIO 2016'!$H$1768+'[1]JUNIO 2016'!$H$1769+'[1]JUNIO 2016'!$H$1770+'[1]JUNIO 2016'!$H$1772+'[1]JUNIO 2016'!$H$1773+'[1]JUNIO 2016'!$H$1774+'[1]JUNIO 2016'!$H$1775+'[1]JUNIO 2016'!$H$1776</f>
        <v>24212635</v>
      </c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>
        <f>+'[3]MAYO 2016'!$H$1509+'[3]MAYO 2016'!$H$1511+'[3]MAYO 2016'!$H$1519+'[3]MAYO 2016'!$H$1520+'[3]MAYO 2016'!$H$1523+'[3]MAYO 2016'!$H$1524+'[3]MAYO 2016'!$H$1525+'[3]MAYO 2016'!$H$1531+'[3]MAYO 2016'!$H$1532+'[3]MAYO 2016'!$H$1533+'[3]MAYO 2016'!$H$1540</f>
        <v>18173626</v>
      </c>
      <c r="CQ59" s="55">
        <f t="shared" si="67"/>
        <v>0.60753462037037043</v>
      </c>
      <c r="CR59" s="27">
        <f t="shared" ref="CR59:CR90" si="77">SUM(CS59:DL59)</f>
        <v>65613739</v>
      </c>
      <c r="CS59" s="27">
        <f t="shared" ref="CS59:DB74" si="78">H59-BW59</f>
        <v>0</v>
      </c>
      <c r="CT59" s="27">
        <f t="shared" si="78"/>
        <v>0</v>
      </c>
      <c r="CU59" s="27">
        <f t="shared" si="78"/>
        <v>0</v>
      </c>
      <c r="CV59" s="27">
        <f t="shared" si="78"/>
        <v>0</v>
      </c>
      <c r="CW59" s="27">
        <f t="shared" si="78"/>
        <v>0</v>
      </c>
      <c r="CX59" s="27">
        <f t="shared" si="78"/>
        <v>25787365</v>
      </c>
      <c r="CY59" s="27">
        <f t="shared" si="78"/>
        <v>0</v>
      </c>
      <c r="CZ59" s="27">
        <f t="shared" ref="CZ59:DB68" si="79">+O59-CD59</f>
        <v>0</v>
      </c>
      <c r="DA59" s="27">
        <f t="shared" si="79"/>
        <v>0</v>
      </c>
      <c r="DB59" s="27">
        <f t="shared" si="79"/>
        <v>0</v>
      </c>
      <c r="DC59" s="27">
        <f t="shared" ref="DC59:DH89" si="80">R59-CG59</f>
        <v>0</v>
      </c>
      <c r="DD59" s="27">
        <f t="shared" si="80"/>
        <v>0</v>
      </c>
      <c r="DE59" s="27">
        <f t="shared" si="80"/>
        <v>0</v>
      </c>
      <c r="DF59" s="27">
        <f t="shared" ref="DF59:DH68" si="81">+U59-CJ59</f>
        <v>0</v>
      </c>
      <c r="DG59" s="27">
        <f t="shared" si="81"/>
        <v>0</v>
      </c>
      <c r="DH59" s="27">
        <f t="shared" si="81"/>
        <v>0</v>
      </c>
      <c r="DI59" s="27"/>
      <c r="DJ59" s="27">
        <f t="shared" ref="DJ59:DL68" si="82">+Y59-CN59</f>
        <v>0</v>
      </c>
      <c r="DK59" s="61">
        <f t="shared" si="82"/>
        <v>0</v>
      </c>
      <c r="DL59" s="27">
        <f t="shared" si="82"/>
        <v>39826374</v>
      </c>
    </row>
    <row r="60" spans="1:117" ht="24" customHeight="1" x14ac:dyDescent="0.25">
      <c r="A60" s="227"/>
      <c r="B60" s="230"/>
      <c r="C60" s="23" t="s">
        <v>180</v>
      </c>
      <c r="D60" s="24" t="s">
        <v>181</v>
      </c>
      <c r="E60" s="25">
        <v>520</v>
      </c>
      <c r="F60" s="26" t="s">
        <v>182</v>
      </c>
      <c r="G60" s="27">
        <f t="shared" si="68"/>
        <v>2000000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>
        <v>2000000</v>
      </c>
      <c r="AC60" s="29">
        <f t="shared" si="1"/>
        <v>0.5</v>
      </c>
      <c r="AD60" s="27">
        <f t="shared" si="69"/>
        <v>1000000</v>
      </c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>
        <f>+'[4]ABRIL 2016'!$G$1362</f>
        <v>1000000</v>
      </c>
      <c r="AY60" s="29">
        <f t="shared" si="3"/>
        <v>0.5</v>
      </c>
      <c r="AZ60" s="27">
        <f t="shared" si="70"/>
        <v>1000000</v>
      </c>
      <c r="BA60" s="27">
        <f t="shared" si="71"/>
        <v>0</v>
      </c>
      <c r="BB60" s="27">
        <f t="shared" si="72"/>
        <v>0</v>
      </c>
      <c r="BC60" s="27">
        <f t="shared" si="72"/>
        <v>0</v>
      </c>
      <c r="BD60" s="27">
        <f t="shared" si="72"/>
        <v>0</v>
      </c>
      <c r="BE60" s="27">
        <f t="shared" si="73"/>
        <v>0</v>
      </c>
      <c r="BF60" s="27">
        <f t="shared" si="73"/>
        <v>0</v>
      </c>
      <c r="BG60" s="27">
        <f t="shared" si="73"/>
        <v>0</v>
      </c>
      <c r="BH60" s="27">
        <f t="shared" si="73"/>
        <v>0</v>
      </c>
      <c r="BI60" s="27">
        <f t="shared" si="73"/>
        <v>0</v>
      </c>
      <c r="BJ60" s="27">
        <f t="shared" si="73"/>
        <v>0</v>
      </c>
      <c r="BK60" s="27">
        <f t="shared" si="73"/>
        <v>0</v>
      </c>
      <c r="BL60" s="27">
        <f t="shared" si="73"/>
        <v>0</v>
      </c>
      <c r="BM60" s="27">
        <f t="shared" si="73"/>
        <v>0</v>
      </c>
      <c r="BN60" s="27">
        <f t="shared" si="73"/>
        <v>0</v>
      </c>
      <c r="BO60" s="27">
        <f t="shared" si="73"/>
        <v>0</v>
      </c>
      <c r="BP60" s="27">
        <f t="shared" si="73"/>
        <v>0</v>
      </c>
      <c r="BQ60" s="27"/>
      <c r="BR60" s="27"/>
      <c r="BS60" s="27">
        <f t="shared" si="74"/>
        <v>0</v>
      </c>
      <c r="BT60" s="27">
        <f t="shared" si="75"/>
        <v>1000000</v>
      </c>
      <c r="BU60" s="29">
        <f t="shared" si="10"/>
        <v>0.5</v>
      </c>
      <c r="BV60" s="27">
        <f t="shared" si="76"/>
        <v>1000000</v>
      </c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>
        <f>+'[4]ABRIL 2016'!$H$1359</f>
        <v>1000000</v>
      </c>
      <c r="CQ60" s="29">
        <f t="shared" si="67"/>
        <v>0.5</v>
      </c>
      <c r="CR60" s="27">
        <f t="shared" si="77"/>
        <v>1000000</v>
      </c>
      <c r="CS60" s="27">
        <f t="shared" si="78"/>
        <v>0</v>
      </c>
      <c r="CT60" s="27">
        <f t="shared" si="78"/>
        <v>0</v>
      </c>
      <c r="CU60" s="27">
        <f t="shared" si="78"/>
        <v>0</v>
      </c>
      <c r="CV60" s="27">
        <f t="shared" si="78"/>
        <v>0</v>
      </c>
      <c r="CW60" s="27">
        <f t="shared" si="78"/>
        <v>0</v>
      </c>
      <c r="CX60" s="27">
        <f t="shared" si="78"/>
        <v>0</v>
      </c>
      <c r="CY60" s="27">
        <f t="shared" si="78"/>
        <v>0</v>
      </c>
      <c r="CZ60" s="27">
        <f t="shared" si="79"/>
        <v>0</v>
      </c>
      <c r="DA60" s="27">
        <f t="shared" si="79"/>
        <v>0</v>
      </c>
      <c r="DB60" s="27">
        <f t="shared" si="79"/>
        <v>0</v>
      </c>
      <c r="DC60" s="27">
        <f t="shared" si="80"/>
        <v>0</v>
      </c>
      <c r="DD60" s="27">
        <f t="shared" si="80"/>
        <v>0</v>
      </c>
      <c r="DE60" s="27">
        <f t="shared" si="80"/>
        <v>0</v>
      </c>
      <c r="DF60" s="27">
        <f t="shared" si="81"/>
        <v>0</v>
      </c>
      <c r="DG60" s="27">
        <f t="shared" si="81"/>
        <v>0</v>
      </c>
      <c r="DH60" s="27">
        <f t="shared" si="81"/>
        <v>0</v>
      </c>
      <c r="DI60" s="27"/>
      <c r="DJ60" s="27">
        <f t="shared" si="82"/>
        <v>0</v>
      </c>
      <c r="DK60" s="61">
        <f t="shared" si="82"/>
        <v>0</v>
      </c>
      <c r="DL60" s="27">
        <f t="shared" si="82"/>
        <v>1000000</v>
      </c>
    </row>
    <row r="61" spans="1:117" ht="33.75" customHeight="1" x14ac:dyDescent="0.25">
      <c r="A61" s="227"/>
      <c r="B61" s="231"/>
      <c r="C61" s="23" t="s">
        <v>183</v>
      </c>
      <c r="D61" s="24" t="s">
        <v>184</v>
      </c>
      <c r="E61" s="25">
        <v>520</v>
      </c>
      <c r="F61" s="26" t="s">
        <v>75</v>
      </c>
      <c r="G61" s="27">
        <f t="shared" si="68"/>
        <v>3000000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>
        <v>3000000</v>
      </c>
      <c r="AC61" s="29">
        <f t="shared" si="1"/>
        <v>1</v>
      </c>
      <c r="AD61" s="27">
        <f t="shared" si="69"/>
        <v>3000000</v>
      </c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>
        <f>+'[1]JUNIO 2016'!$G$1784</f>
        <v>3000000</v>
      </c>
      <c r="AY61" s="29">
        <f t="shared" si="3"/>
        <v>0</v>
      </c>
      <c r="AZ61" s="27">
        <f t="shared" si="70"/>
        <v>0</v>
      </c>
      <c r="BA61" s="27">
        <f t="shared" si="71"/>
        <v>0</v>
      </c>
      <c r="BB61" s="27">
        <f t="shared" si="72"/>
        <v>0</v>
      </c>
      <c r="BC61" s="27">
        <f t="shared" si="72"/>
        <v>0</v>
      </c>
      <c r="BD61" s="27">
        <f t="shared" si="72"/>
        <v>0</v>
      </c>
      <c r="BE61" s="27">
        <f t="shared" si="73"/>
        <v>0</v>
      </c>
      <c r="BF61" s="27">
        <f t="shared" si="73"/>
        <v>0</v>
      </c>
      <c r="BG61" s="27">
        <f t="shared" si="73"/>
        <v>0</v>
      </c>
      <c r="BH61" s="27">
        <f t="shared" si="73"/>
        <v>0</v>
      </c>
      <c r="BI61" s="27">
        <f t="shared" si="73"/>
        <v>0</v>
      </c>
      <c r="BJ61" s="27">
        <f t="shared" si="73"/>
        <v>0</v>
      </c>
      <c r="BK61" s="27">
        <f t="shared" si="73"/>
        <v>0</v>
      </c>
      <c r="BL61" s="27">
        <f t="shared" si="73"/>
        <v>0</v>
      </c>
      <c r="BM61" s="27">
        <f t="shared" si="73"/>
        <v>0</v>
      </c>
      <c r="BN61" s="27">
        <f t="shared" si="73"/>
        <v>0</v>
      </c>
      <c r="BO61" s="27">
        <f t="shared" si="73"/>
        <v>0</v>
      </c>
      <c r="BP61" s="27">
        <f t="shared" si="73"/>
        <v>0</v>
      </c>
      <c r="BQ61" s="27"/>
      <c r="BR61" s="27"/>
      <c r="BS61" s="27">
        <f t="shared" si="74"/>
        <v>0</v>
      </c>
      <c r="BT61" s="27">
        <f t="shared" si="75"/>
        <v>0</v>
      </c>
      <c r="BU61" s="29">
        <f t="shared" si="10"/>
        <v>1</v>
      </c>
      <c r="BV61" s="27">
        <f t="shared" si="76"/>
        <v>3000000</v>
      </c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>
        <f>+'[1]JUNIO 2016'!$H$1784</f>
        <v>3000000</v>
      </c>
      <c r="CQ61" s="29">
        <f t="shared" si="67"/>
        <v>0</v>
      </c>
      <c r="CR61" s="27">
        <f t="shared" si="77"/>
        <v>0</v>
      </c>
      <c r="CS61" s="27">
        <f t="shared" si="78"/>
        <v>0</v>
      </c>
      <c r="CT61" s="27">
        <f t="shared" si="78"/>
        <v>0</v>
      </c>
      <c r="CU61" s="27">
        <f t="shared" si="78"/>
        <v>0</v>
      </c>
      <c r="CV61" s="27">
        <f t="shared" si="78"/>
        <v>0</v>
      </c>
      <c r="CW61" s="27">
        <f t="shared" si="78"/>
        <v>0</v>
      </c>
      <c r="CX61" s="27">
        <f t="shared" si="78"/>
        <v>0</v>
      </c>
      <c r="CY61" s="27">
        <f t="shared" si="78"/>
        <v>0</v>
      </c>
      <c r="CZ61" s="27">
        <f t="shared" si="79"/>
        <v>0</v>
      </c>
      <c r="DA61" s="27">
        <f t="shared" si="79"/>
        <v>0</v>
      </c>
      <c r="DB61" s="27">
        <f t="shared" si="79"/>
        <v>0</v>
      </c>
      <c r="DC61" s="27">
        <f t="shared" si="80"/>
        <v>0</v>
      </c>
      <c r="DD61" s="27">
        <f t="shared" si="80"/>
        <v>0</v>
      </c>
      <c r="DE61" s="27">
        <f t="shared" si="80"/>
        <v>0</v>
      </c>
      <c r="DF61" s="27">
        <f t="shared" si="81"/>
        <v>0</v>
      </c>
      <c r="DG61" s="27">
        <f t="shared" si="81"/>
        <v>0</v>
      </c>
      <c r="DH61" s="27">
        <f t="shared" si="81"/>
        <v>0</v>
      </c>
      <c r="DI61" s="27"/>
      <c r="DJ61" s="27">
        <f t="shared" si="82"/>
        <v>0</v>
      </c>
      <c r="DK61" s="61">
        <f t="shared" si="82"/>
        <v>0</v>
      </c>
      <c r="DL61" s="27">
        <f t="shared" si="82"/>
        <v>0</v>
      </c>
    </row>
    <row r="62" spans="1:117" ht="23.25" customHeight="1" x14ac:dyDescent="0.25">
      <c r="A62" s="227"/>
      <c r="B62" s="70" t="s">
        <v>185</v>
      </c>
      <c r="C62" s="23" t="s">
        <v>186</v>
      </c>
      <c r="D62" s="24" t="s">
        <v>187</v>
      </c>
      <c r="E62" s="25">
        <v>520</v>
      </c>
      <c r="F62" s="26" t="s">
        <v>89</v>
      </c>
      <c r="G62" s="27">
        <f t="shared" si="68"/>
        <v>20000000</v>
      </c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>
        <v>20000000</v>
      </c>
      <c r="U62" s="27"/>
      <c r="V62" s="27"/>
      <c r="W62" s="27"/>
      <c r="X62" s="27"/>
      <c r="Y62" s="27"/>
      <c r="Z62" s="27"/>
      <c r="AA62" s="27"/>
      <c r="AC62" s="29">
        <f t="shared" si="1"/>
        <v>0.84190584999999996</v>
      </c>
      <c r="AD62" s="27">
        <f t="shared" si="69"/>
        <v>16838117</v>
      </c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>
        <f>+'[3]MAYO 2016'!$W$1566</f>
        <v>16838117</v>
      </c>
      <c r="AR62" s="27"/>
      <c r="AS62" s="27"/>
      <c r="AT62" s="27"/>
      <c r="AU62" s="27"/>
      <c r="AV62" s="27"/>
      <c r="AW62" s="27"/>
      <c r="AX62" s="27"/>
      <c r="AY62" s="29">
        <f t="shared" si="3"/>
        <v>0.15809415000000004</v>
      </c>
      <c r="AZ62" s="27">
        <f t="shared" si="70"/>
        <v>3161883</v>
      </c>
      <c r="BA62" s="27">
        <f t="shared" si="71"/>
        <v>0</v>
      </c>
      <c r="BB62" s="27">
        <f t="shared" si="72"/>
        <v>0</v>
      </c>
      <c r="BC62" s="27">
        <f t="shared" si="72"/>
        <v>0</v>
      </c>
      <c r="BD62" s="27">
        <f t="shared" si="72"/>
        <v>0</v>
      </c>
      <c r="BE62" s="27">
        <f t="shared" si="73"/>
        <v>0</v>
      </c>
      <c r="BF62" s="27">
        <f t="shared" si="73"/>
        <v>0</v>
      </c>
      <c r="BG62" s="27">
        <f t="shared" si="73"/>
        <v>0</v>
      </c>
      <c r="BH62" s="27">
        <f t="shared" si="73"/>
        <v>0</v>
      </c>
      <c r="BI62" s="27">
        <f t="shared" si="73"/>
        <v>0</v>
      </c>
      <c r="BJ62" s="27">
        <f t="shared" si="73"/>
        <v>0</v>
      </c>
      <c r="BK62" s="27">
        <f t="shared" si="73"/>
        <v>0</v>
      </c>
      <c r="BL62" s="27">
        <f t="shared" si="73"/>
        <v>0</v>
      </c>
      <c r="BM62" s="27">
        <f t="shared" si="73"/>
        <v>3161883</v>
      </c>
      <c r="BN62" s="27">
        <f t="shared" si="73"/>
        <v>0</v>
      </c>
      <c r="BO62" s="27">
        <f t="shared" si="73"/>
        <v>0</v>
      </c>
      <c r="BP62" s="27">
        <f t="shared" si="73"/>
        <v>0</v>
      </c>
      <c r="BQ62" s="27"/>
      <c r="BR62" s="27">
        <f>+Y62-AV62</f>
        <v>0</v>
      </c>
      <c r="BS62" s="27">
        <f t="shared" si="74"/>
        <v>0</v>
      </c>
      <c r="BT62" s="27">
        <f t="shared" si="75"/>
        <v>0</v>
      </c>
      <c r="BU62" s="29">
        <f t="shared" si="10"/>
        <v>0.8307021</v>
      </c>
      <c r="BV62" s="27">
        <f t="shared" si="76"/>
        <v>16614042</v>
      </c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>
        <f>+'[1]JUNIO 2016'!$H$1796</f>
        <v>16614042</v>
      </c>
      <c r="CJ62" s="27"/>
      <c r="CK62" s="27"/>
      <c r="CL62" s="27"/>
      <c r="CM62" s="27"/>
      <c r="CN62" s="27"/>
      <c r="CO62" s="27"/>
      <c r="CP62" s="27"/>
      <c r="CQ62" s="29">
        <f t="shared" si="67"/>
        <v>0.1692979</v>
      </c>
      <c r="CR62" s="27">
        <f t="shared" si="77"/>
        <v>3385958</v>
      </c>
      <c r="CS62" s="27">
        <f t="shared" si="78"/>
        <v>0</v>
      </c>
      <c r="CT62" s="27">
        <f t="shared" si="78"/>
        <v>0</v>
      </c>
      <c r="CU62" s="27">
        <f t="shared" si="78"/>
        <v>0</v>
      </c>
      <c r="CV62" s="27">
        <f t="shared" si="78"/>
        <v>0</v>
      </c>
      <c r="CW62" s="27">
        <f t="shared" si="78"/>
        <v>0</v>
      </c>
      <c r="CX62" s="27">
        <f t="shared" si="78"/>
        <v>0</v>
      </c>
      <c r="CY62" s="27">
        <f t="shared" si="78"/>
        <v>0</v>
      </c>
      <c r="CZ62" s="27">
        <f t="shared" si="79"/>
        <v>0</v>
      </c>
      <c r="DA62" s="27">
        <f t="shared" si="79"/>
        <v>0</v>
      </c>
      <c r="DB62" s="27">
        <f t="shared" si="79"/>
        <v>0</v>
      </c>
      <c r="DC62" s="27">
        <f t="shared" si="80"/>
        <v>0</v>
      </c>
      <c r="DD62" s="27">
        <f t="shared" si="80"/>
        <v>0</v>
      </c>
      <c r="DE62" s="27">
        <f t="shared" si="80"/>
        <v>3385958</v>
      </c>
      <c r="DF62" s="27">
        <f t="shared" si="81"/>
        <v>0</v>
      </c>
      <c r="DG62" s="27">
        <f t="shared" si="81"/>
        <v>0</v>
      </c>
      <c r="DH62" s="27">
        <f t="shared" si="81"/>
        <v>0</v>
      </c>
      <c r="DI62" s="27"/>
      <c r="DJ62" s="27">
        <f t="shared" si="82"/>
        <v>0</v>
      </c>
      <c r="DK62" s="61">
        <f t="shared" si="82"/>
        <v>0</v>
      </c>
      <c r="DL62" s="27">
        <f t="shared" si="82"/>
        <v>0</v>
      </c>
    </row>
    <row r="63" spans="1:117" ht="21" customHeight="1" x14ac:dyDescent="0.25">
      <c r="A63" s="227"/>
      <c r="B63" s="229" t="s">
        <v>188</v>
      </c>
      <c r="C63" s="23" t="s">
        <v>189</v>
      </c>
      <c r="D63" s="24" t="s">
        <v>190</v>
      </c>
      <c r="E63" s="25">
        <v>520</v>
      </c>
      <c r="F63" s="26" t="s">
        <v>89</v>
      </c>
      <c r="G63" s="27">
        <f t="shared" si="68"/>
        <v>95000000</v>
      </c>
      <c r="H63" s="27"/>
      <c r="I63" s="39"/>
      <c r="J63" s="39"/>
      <c r="K63" s="39"/>
      <c r="L63" s="27">
        <f>228450721-133450721</f>
        <v>95000000</v>
      </c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C63" s="29">
        <f t="shared" si="1"/>
        <v>0.49761515789473681</v>
      </c>
      <c r="AD63" s="27">
        <f t="shared" si="69"/>
        <v>47273440</v>
      </c>
      <c r="AE63" s="27"/>
      <c r="AF63" s="27"/>
      <c r="AG63" s="27"/>
      <c r="AH63" s="27"/>
      <c r="AI63" s="27">
        <f>+'[1]JUNIO 2016'!$O$1825</f>
        <v>47273440</v>
      </c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9">
        <f t="shared" si="3"/>
        <v>0.50238484210526324</v>
      </c>
      <c r="AZ63" s="27">
        <f t="shared" si="70"/>
        <v>47726560</v>
      </c>
      <c r="BA63" s="27">
        <f t="shared" si="71"/>
        <v>0</v>
      </c>
      <c r="BB63" s="27">
        <f t="shared" si="72"/>
        <v>0</v>
      </c>
      <c r="BC63" s="27">
        <f t="shared" si="72"/>
        <v>0</v>
      </c>
      <c r="BD63" s="27">
        <f t="shared" si="72"/>
        <v>0</v>
      </c>
      <c r="BE63" s="27">
        <f t="shared" si="73"/>
        <v>47726560</v>
      </c>
      <c r="BF63" s="27">
        <f t="shared" si="73"/>
        <v>0</v>
      </c>
      <c r="BG63" s="27">
        <f t="shared" si="73"/>
        <v>0</v>
      </c>
      <c r="BH63" s="27">
        <f>O63-AL63</f>
        <v>0</v>
      </c>
      <c r="BI63" s="27">
        <f t="shared" si="73"/>
        <v>0</v>
      </c>
      <c r="BJ63" s="27">
        <f t="shared" si="73"/>
        <v>0</v>
      </c>
      <c r="BK63" s="27">
        <f t="shared" si="73"/>
        <v>0</v>
      </c>
      <c r="BL63" s="27">
        <f t="shared" si="73"/>
        <v>0</v>
      </c>
      <c r="BM63" s="27">
        <f t="shared" si="73"/>
        <v>0</v>
      </c>
      <c r="BN63" s="27">
        <f>U63-AR63</f>
        <v>0</v>
      </c>
      <c r="BO63" s="27">
        <f t="shared" si="73"/>
        <v>0</v>
      </c>
      <c r="BP63" s="27">
        <f t="shared" si="73"/>
        <v>0</v>
      </c>
      <c r="BQ63" s="27"/>
      <c r="BR63" s="27"/>
      <c r="BS63" s="27">
        <f t="shared" si="74"/>
        <v>0</v>
      </c>
      <c r="BT63" s="27">
        <f t="shared" si="75"/>
        <v>0</v>
      </c>
      <c r="BU63" s="29">
        <f t="shared" si="10"/>
        <v>8.4210526315789472E-2</v>
      </c>
      <c r="BV63" s="27">
        <f t="shared" si="76"/>
        <v>8000000</v>
      </c>
      <c r="BW63" s="27"/>
      <c r="BX63" s="27"/>
      <c r="BY63" s="27"/>
      <c r="BZ63" s="27"/>
      <c r="CA63" s="27">
        <f>+'[3]MAYO 2016'!$H$1591</f>
        <v>8000000</v>
      </c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9">
        <f t="shared" si="67"/>
        <v>0.91578947368421049</v>
      </c>
      <c r="CR63" s="27">
        <f t="shared" si="77"/>
        <v>87000000</v>
      </c>
      <c r="CS63" s="27">
        <f t="shared" si="78"/>
        <v>0</v>
      </c>
      <c r="CT63" s="27">
        <f t="shared" si="78"/>
        <v>0</v>
      </c>
      <c r="CU63" s="27">
        <f t="shared" si="78"/>
        <v>0</v>
      </c>
      <c r="CV63" s="27">
        <f t="shared" si="78"/>
        <v>0</v>
      </c>
      <c r="CW63" s="27">
        <f t="shared" si="78"/>
        <v>87000000</v>
      </c>
      <c r="CX63" s="27">
        <f t="shared" si="78"/>
        <v>0</v>
      </c>
      <c r="CY63" s="27">
        <f t="shared" si="78"/>
        <v>0</v>
      </c>
      <c r="CZ63" s="27">
        <f t="shared" si="79"/>
        <v>0</v>
      </c>
      <c r="DA63" s="27">
        <f t="shared" si="79"/>
        <v>0</v>
      </c>
      <c r="DB63" s="27">
        <f t="shared" si="79"/>
        <v>0</v>
      </c>
      <c r="DC63" s="27">
        <f t="shared" si="80"/>
        <v>0</v>
      </c>
      <c r="DD63" s="27">
        <f t="shared" si="80"/>
        <v>0</v>
      </c>
      <c r="DE63" s="27">
        <f t="shared" si="80"/>
        <v>0</v>
      </c>
      <c r="DF63" s="27">
        <f t="shared" si="81"/>
        <v>0</v>
      </c>
      <c r="DG63" s="27">
        <f t="shared" si="81"/>
        <v>0</v>
      </c>
      <c r="DH63" s="27">
        <f t="shared" si="81"/>
        <v>0</v>
      </c>
      <c r="DI63" s="27"/>
      <c r="DJ63" s="27">
        <f t="shared" si="82"/>
        <v>0</v>
      </c>
      <c r="DK63" s="61">
        <f t="shared" si="82"/>
        <v>0</v>
      </c>
      <c r="DL63" s="27">
        <f t="shared" si="82"/>
        <v>0</v>
      </c>
    </row>
    <row r="64" spans="1:117" ht="21" customHeight="1" x14ac:dyDescent="0.25">
      <c r="A64" s="227"/>
      <c r="B64" s="230"/>
      <c r="C64" s="23" t="s">
        <v>191</v>
      </c>
      <c r="D64" s="24" t="s">
        <v>192</v>
      </c>
      <c r="E64" s="25">
        <v>520</v>
      </c>
      <c r="F64" s="26" t="s">
        <v>89</v>
      </c>
      <c r="G64" s="27">
        <f t="shared" si="68"/>
        <v>361901442</v>
      </c>
      <c r="H64" s="52"/>
      <c r="I64" s="52"/>
      <c r="J64" s="39"/>
      <c r="K64" s="39"/>
      <c r="L64" s="27">
        <f>28450721+133450721</f>
        <v>161901442</v>
      </c>
      <c r="M64" s="27"/>
      <c r="N64" s="27"/>
      <c r="O64" s="27"/>
      <c r="P64" s="27"/>
      <c r="Q64" s="27"/>
      <c r="R64" s="27"/>
      <c r="S64" s="27">
        <v>200000000</v>
      </c>
      <c r="T64" s="27"/>
      <c r="U64" s="27"/>
      <c r="V64" s="27"/>
      <c r="W64" s="27"/>
      <c r="X64" s="27"/>
      <c r="Y64" s="27"/>
      <c r="Z64" s="27"/>
      <c r="AA64" s="27"/>
      <c r="AC64" s="29">
        <f t="shared" si="1"/>
        <v>0.75012186328895591</v>
      </c>
      <c r="AD64" s="27">
        <f t="shared" si="69"/>
        <v>271470184</v>
      </c>
      <c r="AE64" s="27"/>
      <c r="AF64" s="27"/>
      <c r="AG64" s="27"/>
      <c r="AH64" s="27"/>
      <c r="AI64" s="27">
        <f>+'[1]JUNIO 2016'!$O$1834</f>
        <v>75081529</v>
      </c>
      <c r="AJ64" s="27"/>
      <c r="AK64" s="27"/>
      <c r="AL64" s="27"/>
      <c r="AM64" s="27"/>
      <c r="AN64" s="27"/>
      <c r="AO64" s="27"/>
      <c r="AP64" s="27">
        <f>+'[1]JUNIO 2016'!$V$1834</f>
        <v>196388655</v>
      </c>
      <c r="AQ64" s="27"/>
      <c r="AR64" s="27"/>
      <c r="AS64" s="27"/>
      <c r="AT64" s="27"/>
      <c r="AU64" s="27"/>
      <c r="AV64" s="27"/>
      <c r="AW64" s="27"/>
      <c r="AX64" s="27"/>
      <c r="AY64" s="29">
        <f t="shared" si="3"/>
        <v>0.24987813671104409</v>
      </c>
      <c r="AZ64" s="27">
        <f t="shared" si="70"/>
        <v>90431258</v>
      </c>
      <c r="BA64" s="27">
        <f t="shared" si="71"/>
        <v>0</v>
      </c>
      <c r="BB64" s="27">
        <f t="shared" si="72"/>
        <v>0</v>
      </c>
      <c r="BC64" s="27">
        <f t="shared" si="72"/>
        <v>0</v>
      </c>
      <c r="BD64" s="27">
        <f t="shared" si="72"/>
        <v>0</v>
      </c>
      <c r="BE64" s="27">
        <f t="shared" si="73"/>
        <v>86819913</v>
      </c>
      <c r="BF64" s="27">
        <f t="shared" si="73"/>
        <v>0</v>
      </c>
      <c r="BG64" s="27">
        <f t="shared" si="73"/>
        <v>0</v>
      </c>
      <c r="BH64" s="27">
        <f>O64-AL64</f>
        <v>0</v>
      </c>
      <c r="BI64" s="27">
        <f t="shared" si="73"/>
        <v>0</v>
      </c>
      <c r="BJ64" s="27">
        <f t="shared" si="73"/>
        <v>0</v>
      </c>
      <c r="BK64" s="27">
        <f t="shared" si="73"/>
        <v>0</v>
      </c>
      <c r="BL64" s="27">
        <f t="shared" si="73"/>
        <v>3611345</v>
      </c>
      <c r="BM64" s="27">
        <f t="shared" si="73"/>
        <v>0</v>
      </c>
      <c r="BN64" s="27">
        <f>U64-AR64</f>
        <v>0</v>
      </c>
      <c r="BO64" s="27">
        <f t="shared" si="73"/>
        <v>0</v>
      </c>
      <c r="BP64" s="27">
        <f t="shared" si="73"/>
        <v>0</v>
      </c>
      <c r="BQ64" s="27"/>
      <c r="BR64" s="27"/>
      <c r="BS64" s="27">
        <f t="shared" si="74"/>
        <v>0</v>
      </c>
      <c r="BT64" s="27">
        <f t="shared" si="75"/>
        <v>0</v>
      </c>
      <c r="BU64" s="29">
        <f t="shared" si="10"/>
        <v>0.64049654159709035</v>
      </c>
      <c r="BV64" s="27">
        <f t="shared" si="76"/>
        <v>231796622</v>
      </c>
      <c r="BW64" s="27"/>
      <c r="BX64" s="27"/>
      <c r="BY64" s="27"/>
      <c r="BZ64" s="27"/>
      <c r="CA64" s="27">
        <f>+'[1]JUNIO 2016'!$H$1835+'[1]JUNIO 2016'!$H$1864+'[1]JUNIO 2016'!$H$1866+'[1]JUNIO 2016'!$H$1867+'[1]JUNIO 2016'!$H$1868+'[1]JUNIO 2016'!$H$1869+'[1]JUNIO 2016'!$H$1870+'[1]JUNIO 2016'!$H$1873+'[1]JUNIO 2016'!$H$1874+'[1]JUNIO 2016'!$H$1875+'[1]JUNIO 2016'!$H$1876+'[1]JUNIO 2016'!$H$1877+'[1]JUNIO 2016'!$H$1878+'[1]JUNIO 2016'!$H$1879+'[1]JUNIO 2016'!$H$1881+'[1]JUNIO 2016'!$H$1886+'[1]JUNIO 2016'!$H$1887+'[1]JUNIO 2016'!$H$1888+'[1]JUNIO 2016'!$H$1912+'[1]JUNIO 2016'!$H$1913</f>
        <v>68913700</v>
      </c>
      <c r="CB64" s="27"/>
      <c r="CC64" s="27"/>
      <c r="CD64" s="27"/>
      <c r="CE64" s="27"/>
      <c r="CF64" s="27"/>
      <c r="CG64" s="27"/>
      <c r="CH64" s="27">
        <f>+'[1]JUNIO 2016'!$H$1845+'[1]JUNIO 2016'!$H$1856+'[1]JUNIO 2016'!$H$1882+'[1]JUNIO 2016'!$H$1885+'[1]JUNIO 2016'!$H$1901+'[1]JUNIO 2016'!$H$1902+'[1]JUNIO 2016'!$H$1906</f>
        <v>162882922</v>
      </c>
      <c r="CI64" s="27"/>
      <c r="CJ64" s="27"/>
      <c r="CK64" s="27"/>
      <c r="CL64" s="27"/>
      <c r="CM64" s="27"/>
      <c r="CN64" s="27"/>
      <c r="CO64" s="27"/>
      <c r="CP64" s="27"/>
      <c r="CQ64" s="29">
        <f t="shared" si="67"/>
        <v>0.35950345840290965</v>
      </c>
      <c r="CR64" s="27">
        <f t="shared" si="77"/>
        <v>130104820</v>
      </c>
      <c r="CS64" s="27">
        <f t="shared" si="78"/>
        <v>0</v>
      </c>
      <c r="CT64" s="27">
        <f t="shared" si="78"/>
        <v>0</v>
      </c>
      <c r="CU64" s="27">
        <f t="shared" si="78"/>
        <v>0</v>
      </c>
      <c r="CV64" s="27">
        <f t="shared" si="78"/>
        <v>0</v>
      </c>
      <c r="CW64" s="27">
        <f t="shared" si="78"/>
        <v>92987742</v>
      </c>
      <c r="CX64" s="27">
        <f t="shared" si="78"/>
        <v>0</v>
      </c>
      <c r="CY64" s="27">
        <f t="shared" si="78"/>
        <v>0</v>
      </c>
      <c r="CZ64" s="27">
        <f t="shared" si="79"/>
        <v>0</v>
      </c>
      <c r="DA64" s="27">
        <f t="shared" si="79"/>
        <v>0</v>
      </c>
      <c r="DB64" s="27">
        <f t="shared" si="79"/>
        <v>0</v>
      </c>
      <c r="DC64" s="27">
        <f t="shared" si="80"/>
        <v>0</v>
      </c>
      <c r="DD64" s="27">
        <f t="shared" si="80"/>
        <v>37117078</v>
      </c>
      <c r="DE64" s="27">
        <f t="shared" si="80"/>
        <v>0</v>
      </c>
      <c r="DF64" s="27">
        <f t="shared" si="81"/>
        <v>0</v>
      </c>
      <c r="DG64" s="27">
        <f t="shared" si="81"/>
        <v>0</v>
      </c>
      <c r="DH64" s="27">
        <f t="shared" si="81"/>
        <v>0</v>
      </c>
      <c r="DI64" s="27"/>
      <c r="DJ64" s="27">
        <f t="shared" si="82"/>
        <v>0</v>
      </c>
      <c r="DK64" s="61">
        <f t="shared" si="82"/>
        <v>0</v>
      </c>
      <c r="DL64" s="27">
        <f t="shared" si="82"/>
        <v>0</v>
      </c>
    </row>
    <row r="65" spans="1:116" ht="30.75" customHeight="1" x14ac:dyDescent="0.25">
      <c r="A65" s="227"/>
      <c r="B65" s="230"/>
      <c r="C65" s="23" t="s">
        <v>193</v>
      </c>
      <c r="D65" s="24" t="s">
        <v>194</v>
      </c>
      <c r="E65" s="25">
        <v>520</v>
      </c>
      <c r="F65" s="26" t="s">
        <v>195</v>
      </c>
      <c r="G65" s="27">
        <f t="shared" si="68"/>
        <v>11000000</v>
      </c>
      <c r="H65" s="27"/>
      <c r="I65" s="39"/>
      <c r="J65" s="39"/>
      <c r="K65" s="39"/>
      <c r="L65" s="39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>
        <f>8000000+3000000</f>
        <v>11000000</v>
      </c>
      <c r="AC65" s="29">
        <f t="shared" si="1"/>
        <v>0.72727272727272729</v>
      </c>
      <c r="AD65" s="27">
        <f t="shared" si="69"/>
        <v>8000000</v>
      </c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>
        <f>+'[1]JUNIO 2016'!$AG$1918</f>
        <v>8000000</v>
      </c>
      <c r="AY65" s="29">
        <f t="shared" si="3"/>
        <v>0.27272727272727271</v>
      </c>
      <c r="AZ65" s="27">
        <f t="shared" si="70"/>
        <v>3000000</v>
      </c>
      <c r="BA65" s="27">
        <f t="shared" si="71"/>
        <v>0</v>
      </c>
      <c r="BB65" s="27">
        <f t="shared" si="72"/>
        <v>0</v>
      </c>
      <c r="BC65" s="27">
        <f t="shared" si="72"/>
        <v>0</v>
      </c>
      <c r="BD65" s="27">
        <f t="shared" si="72"/>
        <v>0</v>
      </c>
      <c r="BE65" s="27">
        <f t="shared" si="73"/>
        <v>0</v>
      </c>
      <c r="BF65" s="27">
        <f t="shared" si="73"/>
        <v>0</v>
      </c>
      <c r="BG65" s="27">
        <f t="shared" si="73"/>
        <v>0</v>
      </c>
      <c r="BH65" s="27">
        <f>O65-AL65</f>
        <v>0</v>
      </c>
      <c r="BI65" s="27">
        <f t="shared" si="73"/>
        <v>0</v>
      </c>
      <c r="BJ65" s="27">
        <f t="shared" si="73"/>
        <v>0</v>
      </c>
      <c r="BK65" s="27">
        <f t="shared" si="73"/>
        <v>0</v>
      </c>
      <c r="BL65" s="27">
        <f t="shared" si="73"/>
        <v>0</v>
      </c>
      <c r="BM65" s="27">
        <f t="shared" si="73"/>
        <v>0</v>
      </c>
      <c r="BN65" s="27">
        <f>U65-AR65</f>
        <v>0</v>
      </c>
      <c r="BO65" s="27">
        <f t="shared" si="73"/>
        <v>0</v>
      </c>
      <c r="BP65" s="27">
        <f t="shared" si="73"/>
        <v>0</v>
      </c>
      <c r="BQ65" s="27"/>
      <c r="BR65" s="27"/>
      <c r="BS65" s="27">
        <f t="shared" si="74"/>
        <v>0</v>
      </c>
      <c r="BT65" s="27">
        <f t="shared" si="75"/>
        <v>3000000</v>
      </c>
      <c r="BU65" s="29">
        <f t="shared" si="10"/>
        <v>0.46963209090909092</v>
      </c>
      <c r="BV65" s="27">
        <f t="shared" si="76"/>
        <v>5165953</v>
      </c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>
        <f>+'[1]JUNIO 2016'!$H$1916</f>
        <v>5165953</v>
      </c>
      <c r="CQ65" s="29">
        <f t="shared" si="67"/>
        <v>0.53036790909090903</v>
      </c>
      <c r="CR65" s="27">
        <f t="shared" si="77"/>
        <v>5834047</v>
      </c>
      <c r="CS65" s="27">
        <f t="shared" si="78"/>
        <v>0</v>
      </c>
      <c r="CT65" s="27">
        <f t="shared" si="78"/>
        <v>0</v>
      </c>
      <c r="CU65" s="27">
        <f t="shared" si="78"/>
        <v>0</v>
      </c>
      <c r="CV65" s="27">
        <f t="shared" si="78"/>
        <v>0</v>
      </c>
      <c r="CW65" s="27">
        <f t="shared" si="78"/>
        <v>0</v>
      </c>
      <c r="CX65" s="27">
        <f t="shared" si="78"/>
        <v>0</v>
      </c>
      <c r="CY65" s="27">
        <f t="shared" si="78"/>
        <v>0</v>
      </c>
      <c r="CZ65" s="27">
        <f t="shared" si="79"/>
        <v>0</v>
      </c>
      <c r="DA65" s="27">
        <f t="shared" si="79"/>
        <v>0</v>
      </c>
      <c r="DB65" s="27">
        <f t="shared" si="79"/>
        <v>0</v>
      </c>
      <c r="DC65" s="27">
        <f t="shared" si="80"/>
        <v>0</v>
      </c>
      <c r="DD65" s="27">
        <f t="shared" si="80"/>
        <v>0</v>
      </c>
      <c r="DE65" s="27">
        <f t="shared" si="80"/>
        <v>0</v>
      </c>
      <c r="DF65" s="27">
        <f t="shared" si="81"/>
        <v>0</v>
      </c>
      <c r="DG65" s="27">
        <f t="shared" si="81"/>
        <v>0</v>
      </c>
      <c r="DH65" s="27">
        <f t="shared" si="81"/>
        <v>0</v>
      </c>
      <c r="DI65" s="27"/>
      <c r="DJ65" s="27">
        <f t="shared" si="82"/>
        <v>0</v>
      </c>
      <c r="DK65" s="61">
        <f t="shared" si="82"/>
        <v>0</v>
      </c>
      <c r="DL65" s="27">
        <f t="shared" si="82"/>
        <v>5834047</v>
      </c>
    </row>
    <row r="66" spans="1:116" ht="20.25" customHeight="1" x14ac:dyDescent="0.25">
      <c r="A66" s="227"/>
      <c r="B66" s="230"/>
      <c r="C66" s="23" t="s">
        <v>196</v>
      </c>
      <c r="D66" s="24" t="s">
        <v>197</v>
      </c>
      <c r="E66" s="25">
        <v>520</v>
      </c>
      <c r="F66" s="26" t="s">
        <v>198</v>
      </c>
      <c r="G66" s="27">
        <f t="shared" si="68"/>
        <v>5000000</v>
      </c>
      <c r="H66" s="27"/>
      <c r="I66" s="39"/>
      <c r="J66" s="39"/>
      <c r="K66" s="39"/>
      <c r="L66" s="39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>
        <v>5000000</v>
      </c>
      <c r="AC66" s="29">
        <f t="shared" si="1"/>
        <v>1</v>
      </c>
      <c r="AD66" s="27">
        <f t="shared" si="69"/>
        <v>5000000</v>
      </c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>
        <f>+'[3]MAYO 2016'!$AG$1678</f>
        <v>5000000</v>
      </c>
      <c r="AY66" s="29">
        <f t="shared" si="3"/>
        <v>0</v>
      </c>
      <c r="AZ66" s="27">
        <f t="shared" si="70"/>
        <v>0</v>
      </c>
      <c r="BA66" s="27">
        <f t="shared" si="71"/>
        <v>0</v>
      </c>
      <c r="BB66" s="27">
        <f t="shared" si="72"/>
        <v>0</v>
      </c>
      <c r="BC66" s="27">
        <f t="shared" si="72"/>
        <v>0</v>
      </c>
      <c r="BD66" s="27">
        <f t="shared" si="72"/>
        <v>0</v>
      </c>
      <c r="BE66" s="27">
        <f t="shared" si="73"/>
        <v>0</v>
      </c>
      <c r="BF66" s="27">
        <f t="shared" si="73"/>
        <v>0</v>
      </c>
      <c r="BG66" s="27">
        <f t="shared" si="73"/>
        <v>0</v>
      </c>
      <c r="BH66" s="27">
        <f>O66-AL66</f>
        <v>0</v>
      </c>
      <c r="BI66" s="27">
        <f t="shared" si="73"/>
        <v>0</v>
      </c>
      <c r="BJ66" s="27">
        <f t="shared" si="73"/>
        <v>0</v>
      </c>
      <c r="BK66" s="27">
        <f t="shared" si="73"/>
        <v>0</v>
      </c>
      <c r="BL66" s="27">
        <f t="shared" si="73"/>
        <v>0</v>
      </c>
      <c r="BM66" s="27">
        <f t="shared" si="73"/>
        <v>0</v>
      </c>
      <c r="BN66" s="27">
        <f>U66-AR66</f>
        <v>0</v>
      </c>
      <c r="BO66" s="27">
        <f t="shared" si="73"/>
        <v>0</v>
      </c>
      <c r="BP66" s="27">
        <f t="shared" si="73"/>
        <v>0</v>
      </c>
      <c r="BQ66" s="27"/>
      <c r="BR66" s="27"/>
      <c r="BS66" s="27">
        <f t="shared" si="74"/>
        <v>0</v>
      </c>
      <c r="BT66" s="27">
        <f t="shared" si="75"/>
        <v>0</v>
      </c>
      <c r="BU66" s="29">
        <f t="shared" si="10"/>
        <v>0.99863999999999997</v>
      </c>
      <c r="BV66" s="27">
        <f t="shared" si="76"/>
        <v>4993200</v>
      </c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>
        <f>+'[3]MAYO 2016'!$H$1676</f>
        <v>4993200</v>
      </c>
      <c r="CQ66" s="29">
        <f t="shared" si="67"/>
        <v>1.3600000000000279E-3</v>
      </c>
      <c r="CR66" s="27">
        <f t="shared" si="77"/>
        <v>6800</v>
      </c>
      <c r="CS66" s="27">
        <f t="shared" si="78"/>
        <v>0</v>
      </c>
      <c r="CT66" s="27">
        <f t="shared" si="78"/>
        <v>0</v>
      </c>
      <c r="CU66" s="27">
        <f t="shared" si="78"/>
        <v>0</v>
      </c>
      <c r="CV66" s="27">
        <f t="shared" si="78"/>
        <v>0</v>
      </c>
      <c r="CW66" s="27">
        <f t="shared" si="78"/>
        <v>0</v>
      </c>
      <c r="CX66" s="27">
        <f t="shared" si="78"/>
        <v>0</v>
      </c>
      <c r="CY66" s="27">
        <f t="shared" si="78"/>
        <v>0</v>
      </c>
      <c r="CZ66" s="27">
        <f t="shared" si="79"/>
        <v>0</v>
      </c>
      <c r="DA66" s="27">
        <f t="shared" si="79"/>
        <v>0</v>
      </c>
      <c r="DB66" s="27">
        <f t="shared" si="79"/>
        <v>0</v>
      </c>
      <c r="DC66" s="27">
        <f t="shared" si="80"/>
        <v>0</v>
      </c>
      <c r="DD66" s="27">
        <f t="shared" si="80"/>
        <v>0</v>
      </c>
      <c r="DE66" s="27">
        <f t="shared" si="80"/>
        <v>0</v>
      </c>
      <c r="DF66" s="27">
        <f t="shared" si="81"/>
        <v>0</v>
      </c>
      <c r="DG66" s="27">
        <f t="shared" si="81"/>
        <v>0</v>
      </c>
      <c r="DH66" s="27">
        <f t="shared" si="81"/>
        <v>0</v>
      </c>
      <c r="DI66" s="27"/>
      <c r="DJ66" s="27">
        <f t="shared" si="82"/>
        <v>0</v>
      </c>
      <c r="DK66" s="61">
        <f t="shared" si="82"/>
        <v>0</v>
      </c>
      <c r="DL66" s="27">
        <f t="shared" si="82"/>
        <v>6800</v>
      </c>
    </row>
    <row r="67" spans="1:116" ht="24" customHeight="1" x14ac:dyDescent="0.25">
      <c r="A67" s="227"/>
      <c r="B67" s="230"/>
      <c r="C67" s="23" t="s">
        <v>199</v>
      </c>
      <c r="D67" s="24" t="s">
        <v>200</v>
      </c>
      <c r="E67" s="25">
        <v>520</v>
      </c>
      <c r="F67" s="26" t="s">
        <v>198</v>
      </c>
      <c r="G67" s="27">
        <f t="shared" si="68"/>
        <v>7000000</v>
      </c>
      <c r="H67" s="27"/>
      <c r="I67" s="39"/>
      <c r="J67" s="39"/>
      <c r="K67" s="39"/>
      <c r="L67" s="39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>
        <v>7000000</v>
      </c>
      <c r="AB67" s="64"/>
      <c r="AC67" s="29">
        <f t="shared" si="1"/>
        <v>0</v>
      </c>
      <c r="AD67" s="27">
        <f t="shared" si="69"/>
        <v>0</v>
      </c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9">
        <f t="shared" si="3"/>
        <v>1</v>
      </c>
      <c r="AZ67" s="27">
        <f t="shared" si="70"/>
        <v>7000000</v>
      </c>
      <c r="BA67" s="27">
        <f t="shared" si="71"/>
        <v>0</v>
      </c>
      <c r="BB67" s="27">
        <f t="shared" si="72"/>
        <v>0</v>
      </c>
      <c r="BC67" s="27">
        <f t="shared" si="72"/>
        <v>0</v>
      </c>
      <c r="BD67" s="27">
        <f t="shared" si="72"/>
        <v>0</v>
      </c>
      <c r="BE67" s="27">
        <f t="shared" si="73"/>
        <v>0</v>
      </c>
      <c r="BF67" s="27">
        <f t="shared" si="73"/>
        <v>0</v>
      </c>
      <c r="BG67" s="27">
        <f t="shared" si="73"/>
        <v>0</v>
      </c>
      <c r="BH67" s="27">
        <f>+O67-AL67</f>
        <v>0</v>
      </c>
      <c r="BI67" s="27">
        <f t="shared" si="73"/>
        <v>0</v>
      </c>
      <c r="BJ67" s="27">
        <f t="shared" si="73"/>
        <v>0</v>
      </c>
      <c r="BK67" s="27">
        <f t="shared" si="73"/>
        <v>0</v>
      </c>
      <c r="BL67" s="27">
        <f t="shared" si="73"/>
        <v>0</v>
      </c>
      <c r="BM67" s="27">
        <f t="shared" si="73"/>
        <v>0</v>
      </c>
      <c r="BN67" s="27">
        <f>+U67-AR67</f>
        <v>0</v>
      </c>
      <c r="BO67" s="27">
        <f t="shared" si="73"/>
        <v>0</v>
      </c>
      <c r="BP67" s="27">
        <f t="shared" si="73"/>
        <v>0</v>
      </c>
      <c r="BQ67" s="27"/>
      <c r="BR67" s="27">
        <f>+Y67-AV67</f>
        <v>0</v>
      </c>
      <c r="BS67" s="27">
        <f t="shared" si="74"/>
        <v>0</v>
      </c>
      <c r="BT67" s="27">
        <f t="shared" si="75"/>
        <v>7000000</v>
      </c>
      <c r="BU67" s="29">
        <f t="shared" si="10"/>
        <v>0</v>
      </c>
      <c r="BV67" s="27">
        <f t="shared" si="76"/>
        <v>0</v>
      </c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9">
        <f t="shared" si="67"/>
        <v>1</v>
      </c>
      <c r="CR67" s="27">
        <f t="shared" si="77"/>
        <v>7000000</v>
      </c>
      <c r="CS67" s="27">
        <f t="shared" si="78"/>
        <v>0</v>
      </c>
      <c r="CT67" s="27">
        <f t="shared" si="78"/>
        <v>0</v>
      </c>
      <c r="CU67" s="27">
        <f t="shared" si="78"/>
        <v>0</v>
      </c>
      <c r="CV67" s="27">
        <f t="shared" si="78"/>
        <v>0</v>
      </c>
      <c r="CW67" s="27">
        <f t="shared" si="78"/>
        <v>0</v>
      </c>
      <c r="CX67" s="27">
        <f t="shared" si="78"/>
        <v>0</v>
      </c>
      <c r="CY67" s="27">
        <f t="shared" si="78"/>
        <v>0</v>
      </c>
      <c r="CZ67" s="27">
        <f t="shared" si="79"/>
        <v>0</v>
      </c>
      <c r="DA67" s="27">
        <f t="shared" si="79"/>
        <v>0</v>
      </c>
      <c r="DB67" s="27">
        <f t="shared" si="79"/>
        <v>0</v>
      </c>
      <c r="DC67" s="27">
        <f t="shared" si="80"/>
        <v>0</v>
      </c>
      <c r="DD67" s="27">
        <f t="shared" si="80"/>
        <v>0</v>
      </c>
      <c r="DE67" s="27">
        <f t="shared" si="80"/>
        <v>0</v>
      </c>
      <c r="DF67" s="27">
        <f t="shared" si="81"/>
        <v>0</v>
      </c>
      <c r="DG67" s="27">
        <f t="shared" si="81"/>
        <v>0</v>
      </c>
      <c r="DH67" s="27">
        <f t="shared" si="81"/>
        <v>0</v>
      </c>
      <c r="DI67" s="27"/>
      <c r="DJ67" s="27">
        <f t="shared" si="82"/>
        <v>0</v>
      </c>
      <c r="DK67" s="61">
        <f t="shared" si="82"/>
        <v>0</v>
      </c>
      <c r="DL67" s="27">
        <f t="shared" si="82"/>
        <v>7000000</v>
      </c>
    </row>
    <row r="68" spans="1:116" ht="76.5" customHeight="1" x14ac:dyDescent="0.25">
      <c r="A68" s="227"/>
      <c r="B68" s="230"/>
      <c r="C68" s="23" t="s">
        <v>201</v>
      </c>
      <c r="D68" s="24" t="s">
        <v>202</v>
      </c>
      <c r="E68" s="25">
        <v>520</v>
      </c>
      <c r="F68" s="26" t="s">
        <v>203</v>
      </c>
      <c r="G68" s="27">
        <f t="shared" si="68"/>
        <v>377038998</v>
      </c>
      <c r="H68" s="27"/>
      <c r="I68" s="39"/>
      <c r="J68" s="39"/>
      <c r="K68" s="39"/>
      <c r="L68" s="39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>
        <f>267022558+25000000+11804220+35899362+2954659+41266345-11804220+4000000+896074</f>
        <v>377038998</v>
      </c>
      <c r="AB68" s="64"/>
      <c r="AC68" s="29">
        <f t="shared" ref="AC68:AC91" si="83">+AD68/G68</f>
        <v>0.94435827033467767</v>
      </c>
      <c r="AD68" s="27">
        <f t="shared" si="69"/>
        <v>356059896</v>
      </c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>
        <f>+'[1]JUNIO 2016'!$AG$1953</f>
        <v>356059896</v>
      </c>
      <c r="AY68" s="29">
        <f t="shared" ref="AY68:AY91" si="84">1-AC68</f>
        <v>5.5641729665322326E-2</v>
      </c>
      <c r="AZ68" s="27">
        <f t="shared" si="70"/>
        <v>20979102</v>
      </c>
      <c r="BA68" s="27">
        <f t="shared" si="71"/>
        <v>0</v>
      </c>
      <c r="BB68" s="27">
        <f t="shared" si="72"/>
        <v>0</v>
      </c>
      <c r="BC68" s="27">
        <f t="shared" si="72"/>
        <v>0</v>
      </c>
      <c r="BD68" s="27">
        <f t="shared" si="72"/>
        <v>0</v>
      </c>
      <c r="BE68" s="27">
        <f t="shared" si="73"/>
        <v>0</v>
      </c>
      <c r="BF68" s="27">
        <f t="shared" si="73"/>
        <v>0</v>
      </c>
      <c r="BG68" s="27">
        <f t="shared" si="73"/>
        <v>0</v>
      </c>
      <c r="BH68" s="27">
        <f>+O68-AL68</f>
        <v>0</v>
      </c>
      <c r="BI68" s="27">
        <f t="shared" si="73"/>
        <v>0</v>
      </c>
      <c r="BJ68" s="27">
        <f t="shared" si="73"/>
        <v>0</v>
      </c>
      <c r="BK68" s="27">
        <f t="shared" si="73"/>
        <v>0</v>
      </c>
      <c r="BL68" s="27">
        <f t="shared" si="73"/>
        <v>0</v>
      </c>
      <c r="BM68" s="27">
        <f t="shared" si="73"/>
        <v>0</v>
      </c>
      <c r="BN68" s="27">
        <f>+U68-AR68</f>
        <v>0</v>
      </c>
      <c r="BO68" s="27">
        <f t="shared" si="73"/>
        <v>0</v>
      </c>
      <c r="BP68" s="27">
        <f t="shared" si="73"/>
        <v>0</v>
      </c>
      <c r="BQ68" s="27"/>
      <c r="BR68" s="27"/>
      <c r="BS68" s="27">
        <f t="shared" si="74"/>
        <v>0</v>
      </c>
      <c r="BT68" s="27">
        <f t="shared" si="75"/>
        <v>20979102</v>
      </c>
      <c r="BU68" s="29">
        <f t="shared" ref="BU68:BU91" si="85">+BV68/G68</f>
        <v>0.65273399384537933</v>
      </c>
      <c r="BV68" s="27">
        <f t="shared" si="76"/>
        <v>246106171</v>
      </c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>
        <f>+'[1]JUNIO 2016'!$H$1951</f>
        <v>246106171</v>
      </c>
      <c r="CQ68" s="29">
        <f t="shared" si="67"/>
        <v>0.34726600615462067</v>
      </c>
      <c r="CR68" s="27">
        <f t="shared" si="77"/>
        <v>130932827</v>
      </c>
      <c r="CS68" s="27">
        <f t="shared" si="78"/>
        <v>0</v>
      </c>
      <c r="CT68" s="27">
        <f t="shared" si="78"/>
        <v>0</v>
      </c>
      <c r="CU68" s="27">
        <f t="shared" si="78"/>
        <v>0</v>
      </c>
      <c r="CV68" s="27">
        <f t="shared" si="78"/>
        <v>0</v>
      </c>
      <c r="CW68" s="27">
        <f t="shared" si="78"/>
        <v>0</v>
      </c>
      <c r="CX68" s="27">
        <f t="shared" si="78"/>
        <v>0</v>
      </c>
      <c r="CY68" s="27">
        <f t="shared" si="78"/>
        <v>0</v>
      </c>
      <c r="CZ68" s="27">
        <f t="shared" si="79"/>
        <v>0</v>
      </c>
      <c r="DA68" s="27">
        <f t="shared" si="79"/>
        <v>0</v>
      </c>
      <c r="DB68" s="27">
        <f t="shared" si="79"/>
        <v>0</v>
      </c>
      <c r="DC68" s="27">
        <f t="shared" si="80"/>
        <v>0</v>
      </c>
      <c r="DD68" s="27">
        <f t="shared" si="80"/>
        <v>0</v>
      </c>
      <c r="DE68" s="27">
        <f t="shared" si="80"/>
        <v>0</v>
      </c>
      <c r="DF68" s="27">
        <f t="shared" si="81"/>
        <v>0</v>
      </c>
      <c r="DG68" s="27">
        <f t="shared" si="81"/>
        <v>0</v>
      </c>
      <c r="DH68" s="27">
        <f t="shared" si="81"/>
        <v>0</v>
      </c>
      <c r="DI68" s="27"/>
      <c r="DJ68" s="27">
        <f t="shared" si="82"/>
        <v>0</v>
      </c>
      <c r="DK68" s="61">
        <f t="shared" si="82"/>
        <v>0</v>
      </c>
      <c r="DL68" s="27">
        <f t="shared" si="82"/>
        <v>130932827</v>
      </c>
    </row>
    <row r="69" spans="1:116" ht="36" customHeight="1" x14ac:dyDescent="0.25">
      <c r="A69" s="227"/>
      <c r="B69" s="230"/>
      <c r="C69" s="23" t="s">
        <v>204</v>
      </c>
      <c r="D69" s="24" t="s">
        <v>205</v>
      </c>
      <c r="E69" s="25">
        <v>520</v>
      </c>
      <c r="F69" s="26" t="s">
        <v>89</v>
      </c>
      <c r="G69" s="27">
        <f t="shared" si="68"/>
        <v>20000000</v>
      </c>
      <c r="H69" s="27"/>
      <c r="I69" s="39"/>
      <c r="J69" s="39"/>
      <c r="K69" s="39"/>
      <c r="L69" s="27">
        <v>20000000</v>
      </c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64"/>
      <c r="AC69" s="29">
        <f t="shared" si="83"/>
        <v>0</v>
      </c>
      <c r="AD69" s="27">
        <f t="shared" si="69"/>
        <v>0</v>
      </c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9">
        <f t="shared" si="84"/>
        <v>1</v>
      </c>
      <c r="AZ69" s="27">
        <f t="shared" si="70"/>
        <v>20000000</v>
      </c>
      <c r="BA69" s="27">
        <f t="shared" si="71"/>
        <v>0</v>
      </c>
      <c r="BB69" s="27">
        <f t="shared" si="72"/>
        <v>0</v>
      </c>
      <c r="BC69" s="27">
        <f t="shared" si="72"/>
        <v>0</v>
      </c>
      <c r="BD69" s="27">
        <f t="shared" si="72"/>
        <v>0</v>
      </c>
      <c r="BE69" s="27">
        <f t="shared" si="72"/>
        <v>20000000</v>
      </c>
      <c r="BF69" s="27">
        <f t="shared" si="72"/>
        <v>0</v>
      </c>
      <c r="BG69" s="27">
        <f t="shared" si="72"/>
        <v>0</v>
      </c>
      <c r="BH69" s="27">
        <f t="shared" si="72"/>
        <v>0</v>
      </c>
      <c r="BI69" s="27">
        <f t="shared" si="72"/>
        <v>0</v>
      </c>
      <c r="BJ69" s="27">
        <f t="shared" si="72"/>
        <v>0</v>
      </c>
      <c r="BK69" s="27">
        <f t="shared" si="72"/>
        <v>0</v>
      </c>
      <c r="BL69" s="27">
        <f t="shared" si="72"/>
        <v>0</v>
      </c>
      <c r="BM69" s="27">
        <f t="shared" si="72"/>
        <v>0</v>
      </c>
      <c r="BN69" s="27">
        <f t="shared" si="72"/>
        <v>0</v>
      </c>
      <c r="BO69" s="27">
        <f t="shared" si="72"/>
        <v>0</v>
      </c>
      <c r="BP69" s="27">
        <f t="shared" si="72"/>
        <v>0</v>
      </c>
      <c r="BQ69" s="27"/>
      <c r="BR69" s="27">
        <f>Y69-AV69</f>
        <v>0</v>
      </c>
      <c r="BS69" s="27">
        <f t="shared" si="74"/>
        <v>0</v>
      </c>
      <c r="BT69" s="27">
        <f>AA69-AX69</f>
        <v>0</v>
      </c>
      <c r="BU69" s="29">
        <f t="shared" si="85"/>
        <v>0</v>
      </c>
      <c r="BV69" s="27">
        <f t="shared" si="76"/>
        <v>0</v>
      </c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9">
        <f t="shared" si="67"/>
        <v>1</v>
      </c>
      <c r="CR69" s="27">
        <f t="shared" si="77"/>
        <v>20000000</v>
      </c>
      <c r="CS69" s="27">
        <f t="shared" si="78"/>
        <v>0</v>
      </c>
      <c r="CT69" s="27">
        <f t="shared" si="78"/>
        <v>0</v>
      </c>
      <c r="CU69" s="27">
        <f t="shared" si="78"/>
        <v>0</v>
      </c>
      <c r="CV69" s="27">
        <f t="shared" si="78"/>
        <v>0</v>
      </c>
      <c r="CW69" s="27">
        <f t="shared" si="78"/>
        <v>20000000</v>
      </c>
      <c r="CX69" s="27">
        <f t="shared" si="78"/>
        <v>0</v>
      </c>
      <c r="CY69" s="27">
        <f t="shared" si="78"/>
        <v>0</v>
      </c>
      <c r="CZ69" s="27">
        <f t="shared" si="78"/>
        <v>0</v>
      </c>
      <c r="DA69" s="27">
        <f t="shared" si="78"/>
        <v>0</v>
      </c>
      <c r="DB69" s="27">
        <f t="shared" si="78"/>
        <v>0</v>
      </c>
      <c r="DC69" s="27">
        <f t="shared" si="80"/>
        <v>0</v>
      </c>
      <c r="DD69" s="27">
        <f t="shared" si="80"/>
        <v>0</v>
      </c>
      <c r="DE69" s="27">
        <f t="shared" si="80"/>
        <v>0</v>
      </c>
      <c r="DF69" s="27">
        <f t="shared" si="80"/>
        <v>0</v>
      </c>
      <c r="DG69" s="27">
        <f t="shared" si="80"/>
        <v>0</v>
      </c>
      <c r="DH69" s="27">
        <f t="shared" si="80"/>
        <v>0</v>
      </c>
      <c r="DI69" s="27"/>
      <c r="DJ69" s="27">
        <f t="shared" ref="DJ69:DL70" si="86">Y69-CN69</f>
        <v>0</v>
      </c>
      <c r="DK69" s="27">
        <f t="shared" si="86"/>
        <v>0</v>
      </c>
      <c r="DL69" s="27">
        <f t="shared" si="86"/>
        <v>0</v>
      </c>
    </row>
    <row r="70" spans="1:116" ht="34.5" customHeight="1" x14ac:dyDescent="0.25">
      <c r="A70" s="228"/>
      <c r="B70" s="231"/>
      <c r="C70" s="23" t="s">
        <v>206</v>
      </c>
      <c r="D70" s="24" t="s">
        <v>207</v>
      </c>
      <c r="E70" s="25">
        <v>520</v>
      </c>
      <c r="F70" s="26" t="s">
        <v>89</v>
      </c>
      <c r="G70" s="27">
        <f t="shared" si="68"/>
        <v>20000000</v>
      </c>
      <c r="H70" s="27"/>
      <c r="I70" s="39"/>
      <c r="J70" s="39"/>
      <c r="K70" s="39"/>
      <c r="L70" s="27">
        <v>20000000</v>
      </c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64"/>
      <c r="AC70" s="29">
        <f t="shared" si="83"/>
        <v>0.76</v>
      </c>
      <c r="AD70" s="27">
        <f t="shared" si="69"/>
        <v>15200000</v>
      </c>
      <c r="AE70" s="27"/>
      <c r="AF70" s="27"/>
      <c r="AG70" s="27"/>
      <c r="AH70" s="27"/>
      <c r="AI70" s="27">
        <f>+'[4]ABRIL 2016'!$O$1527</f>
        <v>15200000</v>
      </c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9">
        <f t="shared" si="84"/>
        <v>0.24</v>
      </c>
      <c r="AZ70" s="27">
        <f t="shared" si="70"/>
        <v>4800000</v>
      </c>
      <c r="BA70" s="27">
        <f t="shared" si="71"/>
        <v>0</v>
      </c>
      <c r="BB70" s="27">
        <f t="shared" si="72"/>
        <v>0</v>
      </c>
      <c r="BC70" s="27">
        <f t="shared" si="72"/>
        <v>0</v>
      </c>
      <c r="BD70" s="27">
        <f t="shared" si="72"/>
        <v>0</v>
      </c>
      <c r="BE70" s="27">
        <f t="shared" si="72"/>
        <v>4800000</v>
      </c>
      <c r="BF70" s="27">
        <f t="shared" si="72"/>
        <v>0</v>
      </c>
      <c r="BG70" s="27">
        <f t="shared" si="72"/>
        <v>0</v>
      </c>
      <c r="BH70" s="27">
        <f t="shared" si="72"/>
        <v>0</v>
      </c>
      <c r="BI70" s="27">
        <f t="shared" si="72"/>
        <v>0</v>
      </c>
      <c r="BJ70" s="27">
        <f t="shared" si="72"/>
        <v>0</v>
      </c>
      <c r="BK70" s="27">
        <f t="shared" si="72"/>
        <v>0</v>
      </c>
      <c r="BL70" s="27">
        <f t="shared" si="72"/>
        <v>0</v>
      </c>
      <c r="BM70" s="27">
        <f t="shared" si="72"/>
        <v>0</v>
      </c>
      <c r="BN70" s="27">
        <f t="shared" si="72"/>
        <v>0</v>
      </c>
      <c r="BO70" s="27">
        <f t="shared" si="72"/>
        <v>0</v>
      </c>
      <c r="BP70" s="27">
        <f t="shared" si="72"/>
        <v>0</v>
      </c>
      <c r="BQ70" s="27"/>
      <c r="BR70" s="27">
        <f>Y70-AV70</f>
        <v>0</v>
      </c>
      <c r="BS70" s="27">
        <f t="shared" si="74"/>
        <v>0</v>
      </c>
      <c r="BT70" s="27">
        <f>AA70-AX70</f>
        <v>0</v>
      </c>
      <c r="BU70" s="29">
        <f t="shared" si="85"/>
        <v>0.62436239999999998</v>
      </c>
      <c r="BV70" s="27">
        <f t="shared" si="76"/>
        <v>12487248</v>
      </c>
      <c r="BW70" s="27"/>
      <c r="BX70" s="27"/>
      <c r="BY70" s="27"/>
      <c r="BZ70" s="27"/>
      <c r="CA70" s="27">
        <f>+'[3]MAYO 2016'!$H$1761</f>
        <v>12487248</v>
      </c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9">
        <f t="shared" si="67"/>
        <v>0.37563760000000002</v>
      </c>
      <c r="CR70" s="27">
        <f t="shared" si="77"/>
        <v>7512752</v>
      </c>
      <c r="CS70" s="27">
        <f t="shared" si="78"/>
        <v>0</v>
      </c>
      <c r="CT70" s="27">
        <f t="shared" si="78"/>
        <v>0</v>
      </c>
      <c r="CU70" s="27">
        <f t="shared" si="78"/>
        <v>0</v>
      </c>
      <c r="CV70" s="27">
        <f t="shared" si="78"/>
        <v>0</v>
      </c>
      <c r="CW70" s="27">
        <f t="shared" si="78"/>
        <v>7512752</v>
      </c>
      <c r="CX70" s="27">
        <f t="shared" si="78"/>
        <v>0</v>
      </c>
      <c r="CY70" s="27">
        <f t="shared" si="78"/>
        <v>0</v>
      </c>
      <c r="CZ70" s="27">
        <f t="shared" si="78"/>
        <v>0</v>
      </c>
      <c r="DA70" s="27">
        <f t="shared" si="78"/>
        <v>0</v>
      </c>
      <c r="DB70" s="27">
        <f t="shared" si="78"/>
        <v>0</v>
      </c>
      <c r="DC70" s="27">
        <f t="shared" si="80"/>
        <v>0</v>
      </c>
      <c r="DD70" s="27">
        <f t="shared" si="80"/>
        <v>0</v>
      </c>
      <c r="DE70" s="27">
        <f t="shared" si="80"/>
        <v>0</v>
      </c>
      <c r="DF70" s="27">
        <f t="shared" si="80"/>
        <v>0</v>
      </c>
      <c r="DG70" s="27">
        <f t="shared" si="80"/>
        <v>0</v>
      </c>
      <c r="DH70" s="27">
        <f t="shared" si="80"/>
        <v>0</v>
      </c>
      <c r="DI70" s="27"/>
      <c r="DJ70" s="27">
        <f t="shared" si="86"/>
        <v>0</v>
      </c>
      <c r="DK70" s="27">
        <f t="shared" si="86"/>
        <v>0</v>
      </c>
      <c r="DL70" s="27">
        <f t="shared" si="86"/>
        <v>0</v>
      </c>
    </row>
    <row r="71" spans="1:116" ht="33" customHeight="1" x14ac:dyDescent="0.25">
      <c r="A71" s="226" t="s">
        <v>175</v>
      </c>
      <c r="B71" s="240" t="s">
        <v>208</v>
      </c>
      <c r="C71" s="23" t="s">
        <v>209</v>
      </c>
      <c r="D71" s="24" t="s">
        <v>210</v>
      </c>
      <c r="E71" s="25">
        <v>520</v>
      </c>
      <c r="F71" s="26" t="s">
        <v>89</v>
      </c>
      <c r="G71" s="27">
        <f t="shared" si="68"/>
        <v>10000000</v>
      </c>
      <c r="H71" s="27"/>
      <c r="I71" s="39"/>
      <c r="J71" s="27"/>
      <c r="K71" s="27"/>
      <c r="L71" s="27">
        <f>20000000-10000000</f>
        <v>10000000</v>
      </c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64"/>
      <c r="AC71" s="29">
        <f t="shared" si="83"/>
        <v>0</v>
      </c>
      <c r="AD71" s="27">
        <f t="shared" si="69"/>
        <v>0</v>
      </c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9">
        <f t="shared" si="84"/>
        <v>1</v>
      </c>
      <c r="AZ71" s="27">
        <f t="shared" si="70"/>
        <v>10000000</v>
      </c>
      <c r="BA71" s="27">
        <f t="shared" si="71"/>
        <v>0</v>
      </c>
      <c r="BB71" s="27">
        <f t="shared" si="72"/>
        <v>0</v>
      </c>
      <c r="BC71" s="27">
        <f t="shared" si="72"/>
        <v>0</v>
      </c>
      <c r="BD71" s="27">
        <f t="shared" si="72"/>
        <v>0</v>
      </c>
      <c r="BE71" s="27">
        <f t="shared" ref="BE71:BP86" si="87">+L71-AI71</f>
        <v>10000000</v>
      </c>
      <c r="BF71" s="27">
        <f t="shared" si="87"/>
        <v>0</v>
      </c>
      <c r="BG71" s="27">
        <f t="shared" si="87"/>
        <v>0</v>
      </c>
      <c r="BH71" s="27">
        <f t="shared" si="87"/>
        <v>0</v>
      </c>
      <c r="BI71" s="27">
        <f t="shared" si="87"/>
        <v>0</v>
      </c>
      <c r="BJ71" s="27">
        <f t="shared" si="87"/>
        <v>0</v>
      </c>
      <c r="BK71" s="27">
        <f t="shared" si="87"/>
        <v>0</v>
      </c>
      <c r="BL71" s="27">
        <f t="shared" si="87"/>
        <v>0</v>
      </c>
      <c r="BM71" s="27">
        <f t="shared" si="87"/>
        <v>0</v>
      </c>
      <c r="BN71" s="27">
        <f t="shared" si="87"/>
        <v>0</v>
      </c>
      <c r="BO71" s="27">
        <f t="shared" si="87"/>
        <v>0</v>
      </c>
      <c r="BP71" s="27">
        <f t="shared" si="87"/>
        <v>0</v>
      </c>
      <c r="BQ71" s="27"/>
      <c r="BR71" s="27"/>
      <c r="BS71" s="27">
        <f t="shared" si="74"/>
        <v>0</v>
      </c>
      <c r="BT71" s="27">
        <f t="shared" ref="BT71:BT90" si="88">+AA71-AX71</f>
        <v>0</v>
      </c>
      <c r="BU71" s="29">
        <f t="shared" si="85"/>
        <v>0</v>
      </c>
      <c r="BV71" s="27">
        <f t="shared" si="76"/>
        <v>0</v>
      </c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9">
        <f t="shared" si="67"/>
        <v>1</v>
      </c>
      <c r="CR71" s="27">
        <f t="shared" si="77"/>
        <v>10000000</v>
      </c>
      <c r="CS71" s="27">
        <f t="shared" si="78"/>
        <v>0</v>
      </c>
      <c r="CT71" s="27">
        <f t="shared" si="78"/>
        <v>0</v>
      </c>
      <c r="CU71" s="27">
        <f t="shared" si="78"/>
        <v>0</v>
      </c>
      <c r="CV71" s="27">
        <f t="shared" si="78"/>
        <v>0</v>
      </c>
      <c r="CW71" s="27">
        <f t="shared" si="78"/>
        <v>10000000</v>
      </c>
      <c r="CX71" s="27">
        <f t="shared" si="78"/>
        <v>0</v>
      </c>
      <c r="CY71" s="27">
        <f t="shared" si="78"/>
        <v>0</v>
      </c>
      <c r="CZ71" s="27">
        <f t="shared" ref="CZ71:DB73" si="89">+O71-CD71</f>
        <v>0</v>
      </c>
      <c r="DA71" s="27">
        <f t="shared" si="89"/>
        <v>0</v>
      </c>
      <c r="DB71" s="27">
        <f t="shared" si="89"/>
        <v>0</v>
      </c>
      <c r="DC71" s="27">
        <f t="shared" si="80"/>
        <v>0</v>
      </c>
      <c r="DD71" s="27">
        <f t="shared" si="80"/>
        <v>0</v>
      </c>
      <c r="DE71" s="27">
        <f t="shared" si="80"/>
        <v>0</v>
      </c>
      <c r="DF71" s="27">
        <f t="shared" ref="DF71:DH82" si="90">+U71-CJ71</f>
        <v>0</v>
      </c>
      <c r="DG71" s="27">
        <f t="shared" si="90"/>
        <v>0</v>
      </c>
      <c r="DH71" s="27">
        <f t="shared" si="90"/>
        <v>0</v>
      </c>
      <c r="DI71" s="27"/>
      <c r="DJ71" s="27">
        <f t="shared" ref="DJ71:DL82" si="91">+Y71-CN71</f>
        <v>0</v>
      </c>
      <c r="DK71" s="61">
        <f t="shared" si="91"/>
        <v>0</v>
      </c>
      <c r="DL71" s="27">
        <f t="shared" si="91"/>
        <v>0</v>
      </c>
    </row>
    <row r="72" spans="1:116" ht="21" customHeight="1" x14ac:dyDescent="0.25">
      <c r="A72" s="227"/>
      <c r="B72" s="241"/>
      <c r="C72" s="23" t="s">
        <v>211</v>
      </c>
      <c r="D72" s="24" t="s">
        <v>212</v>
      </c>
      <c r="E72" s="25">
        <v>520</v>
      </c>
      <c r="F72" s="26" t="s">
        <v>89</v>
      </c>
      <c r="G72" s="27">
        <f t="shared" si="68"/>
        <v>20000000</v>
      </c>
      <c r="H72" s="27"/>
      <c r="I72" s="39"/>
      <c r="J72" s="27"/>
      <c r="K72" s="27"/>
      <c r="L72" s="27">
        <v>20000000</v>
      </c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64"/>
      <c r="AC72" s="29">
        <f t="shared" si="83"/>
        <v>1</v>
      </c>
      <c r="AD72" s="27">
        <f t="shared" si="69"/>
        <v>20000000</v>
      </c>
      <c r="AE72" s="27"/>
      <c r="AF72" s="27"/>
      <c r="AG72" s="27"/>
      <c r="AH72" s="27"/>
      <c r="AI72" s="27">
        <f>+'[5]ENERO 2016'!$O$771</f>
        <v>20000000</v>
      </c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9">
        <f t="shared" si="84"/>
        <v>0</v>
      </c>
      <c r="AZ72" s="27">
        <f t="shared" si="70"/>
        <v>0</v>
      </c>
      <c r="BA72" s="27">
        <f t="shared" si="71"/>
        <v>0</v>
      </c>
      <c r="BB72" s="27">
        <f t="shared" si="72"/>
        <v>0</v>
      </c>
      <c r="BC72" s="27">
        <f t="shared" si="72"/>
        <v>0</v>
      </c>
      <c r="BD72" s="27">
        <f t="shared" si="72"/>
        <v>0</v>
      </c>
      <c r="BE72" s="27">
        <f t="shared" si="87"/>
        <v>0</v>
      </c>
      <c r="BF72" s="27">
        <f t="shared" si="87"/>
        <v>0</v>
      </c>
      <c r="BG72" s="27">
        <f t="shared" si="87"/>
        <v>0</v>
      </c>
      <c r="BH72" s="27">
        <f t="shared" si="87"/>
        <v>0</v>
      </c>
      <c r="BI72" s="27">
        <f t="shared" si="87"/>
        <v>0</v>
      </c>
      <c r="BJ72" s="27">
        <f t="shared" si="87"/>
        <v>0</v>
      </c>
      <c r="BK72" s="27">
        <f t="shared" si="87"/>
        <v>0</v>
      </c>
      <c r="BL72" s="27">
        <f t="shared" si="87"/>
        <v>0</v>
      </c>
      <c r="BM72" s="27">
        <f t="shared" si="87"/>
        <v>0</v>
      </c>
      <c r="BN72" s="27">
        <f t="shared" si="87"/>
        <v>0</v>
      </c>
      <c r="BO72" s="27">
        <f t="shared" si="87"/>
        <v>0</v>
      </c>
      <c r="BP72" s="27">
        <f t="shared" si="87"/>
        <v>0</v>
      </c>
      <c r="BQ72" s="27"/>
      <c r="BR72" s="27"/>
      <c r="BS72" s="27">
        <f t="shared" si="74"/>
        <v>0</v>
      </c>
      <c r="BT72" s="27">
        <f t="shared" si="88"/>
        <v>0</v>
      </c>
      <c r="BU72" s="29">
        <f t="shared" si="85"/>
        <v>0.89853749999999999</v>
      </c>
      <c r="BV72" s="27">
        <f t="shared" si="76"/>
        <v>17970750</v>
      </c>
      <c r="BW72" s="27"/>
      <c r="BX72" s="27"/>
      <c r="BY72" s="27"/>
      <c r="BZ72" s="27"/>
      <c r="CA72" s="27">
        <f>+'[5]ENERO 2016'!$H$769</f>
        <v>17970750</v>
      </c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9">
        <f t="shared" si="67"/>
        <v>0.10146250000000001</v>
      </c>
      <c r="CR72" s="27">
        <f t="shared" si="77"/>
        <v>2029250</v>
      </c>
      <c r="CS72" s="27">
        <f t="shared" si="78"/>
        <v>0</v>
      </c>
      <c r="CT72" s="27">
        <f t="shared" si="78"/>
        <v>0</v>
      </c>
      <c r="CU72" s="27">
        <f t="shared" si="78"/>
        <v>0</v>
      </c>
      <c r="CV72" s="27">
        <f t="shared" si="78"/>
        <v>0</v>
      </c>
      <c r="CW72" s="27">
        <f t="shared" si="78"/>
        <v>2029250</v>
      </c>
      <c r="CX72" s="27">
        <f t="shared" si="78"/>
        <v>0</v>
      </c>
      <c r="CY72" s="27">
        <f t="shared" si="78"/>
        <v>0</v>
      </c>
      <c r="CZ72" s="27">
        <f t="shared" si="89"/>
        <v>0</v>
      </c>
      <c r="DA72" s="27">
        <f t="shared" si="89"/>
        <v>0</v>
      </c>
      <c r="DB72" s="27">
        <f t="shared" si="89"/>
        <v>0</v>
      </c>
      <c r="DC72" s="27">
        <f t="shared" si="80"/>
        <v>0</v>
      </c>
      <c r="DD72" s="27">
        <f t="shared" si="80"/>
        <v>0</v>
      </c>
      <c r="DE72" s="27">
        <f t="shared" si="80"/>
        <v>0</v>
      </c>
      <c r="DF72" s="27">
        <f t="shared" si="90"/>
        <v>0</v>
      </c>
      <c r="DG72" s="27">
        <f t="shared" si="90"/>
        <v>0</v>
      </c>
      <c r="DH72" s="27">
        <f t="shared" si="90"/>
        <v>0</v>
      </c>
      <c r="DI72" s="27"/>
      <c r="DJ72" s="27">
        <f t="shared" si="91"/>
        <v>0</v>
      </c>
      <c r="DK72" s="61">
        <f t="shared" si="91"/>
        <v>0</v>
      </c>
      <c r="DL72" s="27">
        <f t="shared" si="91"/>
        <v>0</v>
      </c>
    </row>
    <row r="73" spans="1:116" ht="23.25" customHeight="1" x14ac:dyDescent="0.25">
      <c r="A73" s="227"/>
      <c r="B73" s="241"/>
      <c r="C73" s="23" t="s">
        <v>213</v>
      </c>
      <c r="D73" s="24" t="s">
        <v>214</v>
      </c>
      <c r="E73" s="25">
        <v>520</v>
      </c>
      <c r="F73" s="26" t="s">
        <v>75</v>
      </c>
      <c r="G73" s="27">
        <f t="shared" si="68"/>
        <v>1000000</v>
      </c>
      <c r="H73" s="27"/>
      <c r="I73" s="39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>
        <f>3000000-2000000</f>
        <v>1000000</v>
      </c>
      <c r="AB73" s="64"/>
      <c r="AC73" s="29">
        <f t="shared" si="83"/>
        <v>1</v>
      </c>
      <c r="AD73" s="27">
        <f t="shared" si="69"/>
        <v>1000000</v>
      </c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>
        <f>+'[4]ABRIL 2016'!$G$1547</f>
        <v>1000000</v>
      </c>
      <c r="AY73" s="29">
        <f t="shared" si="84"/>
        <v>0</v>
      </c>
      <c r="AZ73" s="27">
        <f t="shared" si="70"/>
        <v>0</v>
      </c>
      <c r="BA73" s="27">
        <f t="shared" si="71"/>
        <v>0</v>
      </c>
      <c r="BB73" s="27">
        <f t="shared" si="72"/>
        <v>0</v>
      </c>
      <c r="BC73" s="27">
        <f t="shared" si="72"/>
        <v>0</v>
      </c>
      <c r="BD73" s="27">
        <f t="shared" si="72"/>
        <v>0</v>
      </c>
      <c r="BE73" s="27">
        <f t="shared" si="87"/>
        <v>0</v>
      </c>
      <c r="BF73" s="27">
        <f t="shared" si="87"/>
        <v>0</v>
      </c>
      <c r="BG73" s="27">
        <f t="shared" si="87"/>
        <v>0</v>
      </c>
      <c r="BH73" s="27">
        <f t="shared" si="87"/>
        <v>0</v>
      </c>
      <c r="BI73" s="27">
        <f t="shared" si="87"/>
        <v>0</v>
      </c>
      <c r="BJ73" s="27">
        <f t="shared" si="87"/>
        <v>0</v>
      </c>
      <c r="BK73" s="27">
        <f t="shared" si="87"/>
        <v>0</v>
      </c>
      <c r="BL73" s="27">
        <f t="shared" si="87"/>
        <v>0</v>
      </c>
      <c r="BM73" s="27">
        <f t="shared" si="87"/>
        <v>0</v>
      </c>
      <c r="BN73" s="27">
        <f t="shared" si="87"/>
        <v>0</v>
      </c>
      <c r="BO73" s="27">
        <f t="shared" si="87"/>
        <v>0</v>
      </c>
      <c r="BP73" s="27">
        <f t="shared" si="87"/>
        <v>0</v>
      </c>
      <c r="BQ73" s="27"/>
      <c r="BR73" s="27"/>
      <c r="BS73" s="27">
        <f t="shared" si="74"/>
        <v>0</v>
      </c>
      <c r="BT73" s="27">
        <f t="shared" si="88"/>
        <v>0</v>
      </c>
      <c r="BU73" s="29">
        <f t="shared" si="85"/>
        <v>1</v>
      </c>
      <c r="BV73" s="27">
        <f t="shared" si="76"/>
        <v>1000000</v>
      </c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>
        <f>+'[4]ABRIL 2016'!$H$1547</f>
        <v>1000000</v>
      </c>
      <c r="CQ73" s="29">
        <f t="shared" si="67"/>
        <v>0</v>
      </c>
      <c r="CR73" s="27">
        <f t="shared" si="77"/>
        <v>0</v>
      </c>
      <c r="CS73" s="27">
        <f t="shared" si="78"/>
        <v>0</v>
      </c>
      <c r="CT73" s="27">
        <f t="shared" si="78"/>
        <v>0</v>
      </c>
      <c r="CU73" s="27">
        <f t="shared" si="78"/>
        <v>0</v>
      </c>
      <c r="CV73" s="27">
        <f t="shared" si="78"/>
        <v>0</v>
      </c>
      <c r="CW73" s="27">
        <f t="shared" si="78"/>
        <v>0</v>
      </c>
      <c r="CX73" s="27">
        <f t="shared" si="78"/>
        <v>0</v>
      </c>
      <c r="CY73" s="27">
        <f t="shared" si="78"/>
        <v>0</v>
      </c>
      <c r="CZ73" s="27">
        <f t="shared" si="89"/>
        <v>0</v>
      </c>
      <c r="DA73" s="27">
        <f t="shared" si="89"/>
        <v>0</v>
      </c>
      <c r="DB73" s="27">
        <f t="shared" si="89"/>
        <v>0</v>
      </c>
      <c r="DC73" s="27">
        <f t="shared" si="80"/>
        <v>0</v>
      </c>
      <c r="DD73" s="27">
        <f t="shared" si="80"/>
        <v>0</v>
      </c>
      <c r="DE73" s="27">
        <f t="shared" si="80"/>
        <v>0</v>
      </c>
      <c r="DF73" s="27">
        <f t="shared" si="90"/>
        <v>0</v>
      </c>
      <c r="DG73" s="27">
        <f t="shared" si="90"/>
        <v>0</v>
      </c>
      <c r="DH73" s="27">
        <f t="shared" si="90"/>
        <v>0</v>
      </c>
      <c r="DI73" s="27"/>
      <c r="DJ73" s="27">
        <f t="shared" si="91"/>
        <v>0</v>
      </c>
      <c r="DK73" s="61">
        <f t="shared" si="91"/>
        <v>0</v>
      </c>
      <c r="DL73" s="27">
        <f t="shared" si="91"/>
        <v>0</v>
      </c>
    </row>
    <row r="74" spans="1:116" ht="33" customHeight="1" x14ac:dyDescent="0.25">
      <c r="A74" s="227"/>
      <c r="B74" s="241"/>
      <c r="C74" s="23" t="s">
        <v>215</v>
      </c>
      <c r="D74" s="24" t="s">
        <v>216</v>
      </c>
      <c r="E74" s="25">
        <v>520</v>
      </c>
      <c r="F74" s="26" t="s">
        <v>89</v>
      </c>
      <c r="G74" s="27">
        <f t="shared" si="68"/>
        <v>5000000</v>
      </c>
      <c r="H74" s="27"/>
      <c r="I74" s="39"/>
      <c r="J74" s="27"/>
      <c r="K74" s="27"/>
      <c r="L74" s="27">
        <v>5000000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64"/>
      <c r="AC74" s="29">
        <f t="shared" si="83"/>
        <v>0</v>
      </c>
      <c r="AD74" s="27">
        <f t="shared" si="69"/>
        <v>0</v>
      </c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9">
        <f t="shared" si="84"/>
        <v>1</v>
      </c>
      <c r="AZ74" s="27">
        <f t="shared" si="70"/>
        <v>5000000</v>
      </c>
      <c r="BA74" s="27">
        <f t="shared" si="71"/>
        <v>0</v>
      </c>
      <c r="BB74" s="27">
        <f t="shared" si="72"/>
        <v>0</v>
      </c>
      <c r="BC74" s="27">
        <f t="shared" si="72"/>
        <v>0</v>
      </c>
      <c r="BD74" s="27">
        <f t="shared" si="72"/>
        <v>0</v>
      </c>
      <c r="BE74" s="27">
        <f t="shared" si="87"/>
        <v>5000000</v>
      </c>
      <c r="BF74" s="27"/>
      <c r="BG74" s="27"/>
      <c r="BH74" s="27"/>
      <c r="BI74" s="27"/>
      <c r="BJ74" s="27"/>
      <c r="BK74" s="27">
        <f t="shared" si="87"/>
        <v>0</v>
      </c>
      <c r="BL74" s="27">
        <f t="shared" si="87"/>
        <v>0</v>
      </c>
      <c r="BM74" s="27">
        <f t="shared" si="87"/>
        <v>0</v>
      </c>
      <c r="BN74" s="27"/>
      <c r="BO74" s="27">
        <f t="shared" si="87"/>
        <v>0</v>
      </c>
      <c r="BP74" s="27">
        <f t="shared" si="87"/>
        <v>0</v>
      </c>
      <c r="BQ74" s="27"/>
      <c r="BR74" s="27"/>
      <c r="BS74" s="27">
        <f t="shared" si="74"/>
        <v>0</v>
      </c>
      <c r="BT74" s="27">
        <f t="shared" si="88"/>
        <v>0</v>
      </c>
      <c r="BU74" s="29">
        <f t="shared" si="85"/>
        <v>0</v>
      </c>
      <c r="BV74" s="27">
        <f t="shared" si="76"/>
        <v>0</v>
      </c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9">
        <f t="shared" si="67"/>
        <v>1</v>
      </c>
      <c r="CR74" s="27">
        <f t="shared" si="77"/>
        <v>5000000</v>
      </c>
      <c r="CS74" s="27">
        <f t="shared" si="78"/>
        <v>0</v>
      </c>
      <c r="CT74" s="27">
        <f t="shared" si="78"/>
        <v>0</v>
      </c>
      <c r="CU74" s="27">
        <f t="shared" si="78"/>
        <v>0</v>
      </c>
      <c r="CV74" s="27">
        <f t="shared" si="78"/>
        <v>0</v>
      </c>
      <c r="CW74" s="27">
        <f t="shared" si="78"/>
        <v>5000000</v>
      </c>
      <c r="CX74" s="27"/>
      <c r="CY74" s="27"/>
      <c r="CZ74" s="27"/>
      <c r="DA74" s="27"/>
      <c r="DB74" s="27"/>
      <c r="DC74" s="27">
        <f t="shared" si="80"/>
        <v>0</v>
      </c>
      <c r="DD74" s="27">
        <f t="shared" si="80"/>
        <v>0</v>
      </c>
      <c r="DE74" s="27">
        <f t="shared" si="80"/>
        <v>0</v>
      </c>
      <c r="DF74" s="27">
        <f t="shared" si="90"/>
        <v>0</v>
      </c>
      <c r="DG74" s="27">
        <f t="shared" si="90"/>
        <v>0</v>
      </c>
      <c r="DH74" s="27">
        <f t="shared" si="90"/>
        <v>0</v>
      </c>
      <c r="DI74" s="27"/>
      <c r="DJ74" s="27"/>
      <c r="DK74" s="61"/>
      <c r="DL74" s="27">
        <f t="shared" si="91"/>
        <v>0</v>
      </c>
    </row>
    <row r="75" spans="1:116" ht="22.5" customHeight="1" x14ac:dyDescent="0.25">
      <c r="A75" s="227"/>
      <c r="B75" s="241"/>
      <c r="C75" s="23" t="s">
        <v>217</v>
      </c>
      <c r="D75" s="24" t="s">
        <v>218</v>
      </c>
      <c r="E75" s="25">
        <v>520</v>
      </c>
      <c r="F75" s="26" t="s">
        <v>89</v>
      </c>
      <c r="G75" s="27">
        <f t="shared" si="68"/>
        <v>5000000</v>
      </c>
      <c r="H75" s="27"/>
      <c r="I75" s="39"/>
      <c r="J75" s="27"/>
      <c r="K75" s="27"/>
      <c r="L75" s="27">
        <v>5000000</v>
      </c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64"/>
      <c r="AC75" s="29">
        <f t="shared" si="83"/>
        <v>0</v>
      </c>
      <c r="AD75" s="27">
        <f t="shared" si="69"/>
        <v>0</v>
      </c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9">
        <f t="shared" si="84"/>
        <v>1</v>
      </c>
      <c r="AZ75" s="27">
        <f t="shared" si="70"/>
        <v>5000000</v>
      </c>
      <c r="BA75" s="27">
        <f t="shared" si="71"/>
        <v>0</v>
      </c>
      <c r="BB75" s="27">
        <f t="shared" si="72"/>
        <v>0</v>
      </c>
      <c r="BC75" s="27">
        <f t="shared" si="72"/>
        <v>0</v>
      </c>
      <c r="BD75" s="27">
        <f t="shared" si="72"/>
        <v>0</v>
      </c>
      <c r="BE75" s="27">
        <f t="shared" si="87"/>
        <v>5000000</v>
      </c>
      <c r="BF75" s="27"/>
      <c r="BG75" s="27"/>
      <c r="BH75" s="27"/>
      <c r="BI75" s="27"/>
      <c r="BJ75" s="27"/>
      <c r="BK75" s="27">
        <f t="shared" si="87"/>
        <v>0</v>
      </c>
      <c r="BL75" s="27">
        <f t="shared" si="87"/>
        <v>0</v>
      </c>
      <c r="BM75" s="27">
        <f t="shared" si="87"/>
        <v>0</v>
      </c>
      <c r="BN75" s="27"/>
      <c r="BO75" s="27">
        <f t="shared" si="87"/>
        <v>0</v>
      </c>
      <c r="BP75" s="27">
        <f t="shared" si="87"/>
        <v>0</v>
      </c>
      <c r="BQ75" s="27"/>
      <c r="BR75" s="27"/>
      <c r="BS75" s="27">
        <f t="shared" si="74"/>
        <v>0</v>
      </c>
      <c r="BT75" s="27">
        <f t="shared" si="88"/>
        <v>0</v>
      </c>
      <c r="BU75" s="29">
        <f t="shared" si="85"/>
        <v>0</v>
      </c>
      <c r="BV75" s="27">
        <f t="shared" si="76"/>
        <v>0</v>
      </c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9">
        <f t="shared" si="67"/>
        <v>1</v>
      </c>
      <c r="CR75" s="27">
        <f t="shared" si="77"/>
        <v>5000000</v>
      </c>
      <c r="CS75" s="27">
        <f t="shared" ref="CS75:CY90" si="92">H75-BW75</f>
        <v>0</v>
      </c>
      <c r="CT75" s="27">
        <f t="shared" si="92"/>
        <v>0</v>
      </c>
      <c r="CU75" s="27">
        <f t="shared" si="92"/>
        <v>0</v>
      </c>
      <c r="CV75" s="27">
        <f t="shared" si="92"/>
        <v>0</v>
      </c>
      <c r="CW75" s="27">
        <f t="shared" si="92"/>
        <v>5000000</v>
      </c>
      <c r="CX75" s="27"/>
      <c r="CY75" s="27"/>
      <c r="CZ75" s="27"/>
      <c r="DA75" s="27"/>
      <c r="DB75" s="27"/>
      <c r="DC75" s="27">
        <f t="shared" si="80"/>
        <v>0</v>
      </c>
      <c r="DD75" s="27">
        <f t="shared" si="80"/>
        <v>0</v>
      </c>
      <c r="DE75" s="27">
        <f t="shared" si="80"/>
        <v>0</v>
      </c>
      <c r="DF75" s="27">
        <f t="shared" si="90"/>
        <v>0</v>
      </c>
      <c r="DG75" s="27">
        <f t="shared" si="90"/>
        <v>0</v>
      </c>
      <c r="DH75" s="27">
        <f t="shared" si="90"/>
        <v>0</v>
      </c>
      <c r="DI75" s="27"/>
      <c r="DJ75" s="27"/>
      <c r="DK75" s="61"/>
      <c r="DL75" s="27">
        <f t="shared" si="91"/>
        <v>0</v>
      </c>
    </row>
    <row r="76" spans="1:116" ht="24.75" customHeight="1" x14ac:dyDescent="0.25">
      <c r="A76" s="227"/>
      <c r="B76" s="241"/>
      <c r="C76" s="23" t="s">
        <v>219</v>
      </c>
      <c r="D76" s="24" t="s">
        <v>220</v>
      </c>
      <c r="E76" s="25">
        <v>520</v>
      </c>
      <c r="F76" s="26" t="s">
        <v>89</v>
      </c>
      <c r="G76" s="27">
        <f t="shared" si="68"/>
        <v>15000000</v>
      </c>
      <c r="H76" s="27"/>
      <c r="I76" s="39"/>
      <c r="J76" s="27"/>
      <c r="K76" s="27"/>
      <c r="L76" s="27">
        <f>5000000+10000000</f>
        <v>15000000</v>
      </c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64"/>
      <c r="AC76" s="29">
        <f t="shared" si="83"/>
        <v>0.92977500000000002</v>
      </c>
      <c r="AD76" s="27">
        <f t="shared" si="69"/>
        <v>13946625</v>
      </c>
      <c r="AE76" s="27"/>
      <c r="AF76" s="27"/>
      <c r="AG76" s="27"/>
      <c r="AH76" s="27"/>
      <c r="AI76" s="27">
        <f>+'[4]ABRIL 2016'!$G$1562</f>
        <v>13946625</v>
      </c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9">
        <f t="shared" si="84"/>
        <v>7.0224999999999982E-2</v>
      </c>
      <c r="AZ76" s="27">
        <f t="shared" si="70"/>
        <v>1053375</v>
      </c>
      <c r="BA76" s="27">
        <f t="shared" si="71"/>
        <v>0</v>
      </c>
      <c r="BB76" s="27">
        <f t="shared" si="72"/>
        <v>0</v>
      </c>
      <c r="BC76" s="27">
        <f t="shared" si="72"/>
        <v>0</v>
      </c>
      <c r="BD76" s="27">
        <f t="shared" si="72"/>
        <v>0</v>
      </c>
      <c r="BE76" s="27">
        <f t="shared" si="87"/>
        <v>1053375</v>
      </c>
      <c r="BF76" s="27"/>
      <c r="BG76" s="27"/>
      <c r="BH76" s="27"/>
      <c r="BI76" s="27"/>
      <c r="BJ76" s="27"/>
      <c r="BK76" s="27">
        <f t="shared" si="87"/>
        <v>0</v>
      </c>
      <c r="BL76" s="27">
        <f t="shared" si="87"/>
        <v>0</v>
      </c>
      <c r="BM76" s="27">
        <f t="shared" si="87"/>
        <v>0</v>
      </c>
      <c r="BN76" s="27">
        <f t="shared" si="87"/>
        <v>0</v>
      </c>
      <c r="BO76" s="27">
        <f t="shared" si="87"/>
        <v>0</v>
      </c>
      <c r="BP76" s="27">
        <f t="shared" si="87"/>
        <v>0</v>
      </c>
      <c r="BQ76" s="27"/>
      <c r="BR76" s="27"/>
      <c r="BS76" s="27">
        <f t="shared" si="74"/>
        <v>0</v>
      </c>
      <c r="BT76" s="27">
        <f t="shared" si="88"/>
        <v>0</v>
      </c>
      <c r="BU76" s="29">
        <f t="shared" si="85"/>
        <v>0.92977500000000002</v>
      </c>
      <c r="BV76" s="27">
        <f t="shared" si="76"/>
        <v>13946625</v>
      </c>
      <c r="BW76" s="27"/>
      <c r="BX76" s="27"/>
      <c r="BY76" s="27"/>
      <c r="BZ76" s="27"/>
      <c r="CA76" s="27">
        <v>13946625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9">
        <f t="shared" si="67"/>
        <v>7.0224999999999982E-2</v>
      </c>
      <c r="CR76" s="27">
        <f t="shared" si="77"/>
        <v>1053375</v>
      </c>
      <c r="CS76" s="27">
        <f t="shared" si="92"/>
        <v>0</v>
      </c>
      <c r="CT76" s="27">
        <f t="shared" si="92"/>
        <v>0</v>
      </c>
      <c r="CU76" s="27">
        <f t="shared" si="92"/>
        <v>0</v>
      </c>
      <c r="CV76" s="27">
        <f t="shared" si="92"/>
        <v>0</v>
      </c>
      <c r="CW76" s="27">
        <f t="shared" si="92"/>
        <v>1053375</v>
      </c>
      <c r="CX76" s="27"/>
      <c r="CY76" s="27"/>
      <c r="CZ76" s="27"/>
      <c r="DA76" s="27"/>
      <c r="DB76" s="27"/>
      <c r="DC76" s="27">
        <f t="shared" si="80"/>
        <v>0</v>
      </c>
      <c r="DD76" s="27">
        <f t="shared" si="80"/>
        <v>0</v>
      </c>
      <c r="DE76" s="27">
        <f t="shared" si="80"/>
        <v>0</v>
      </c>
      <c r="DF76" s="27">
        <f t="shared" si="90"/>
        <v>0</v>
      </c>
      <c r="DG76" s="27">
        <f t="shared" si="90"/>
        <v>0</v>
      </c>
      <c r="DH76" s="27">
        <f t="shared" si="90"/>
        <v>0</v>
      </c>
      <c r="DI76" s="27"/>
      <c r="DJ76" s="27"/>
      <c r="DK76" s="61"/>
      <c r="DL76" s="27">
        <f t="shared" si="91"/>
        <v>0</v>
      </c>
    </row>
    <row r="77" spans="1:116" ht="27.75" customHeight="1" x14ac:dyDescent="0.25">
      <c r="A77" s="227"/>
      <c r="B77" s="242"/>
      <c r="C77" s="23" t="s">
        <v>221</v>
      </c>
      <c r="D77" s="24" t="s">
        <v>222</v>
      </c>
      <c r="E77" s="25">
        <v>520</v>
      </c>
      <c r="F77" s="26" t="s">
        <v>89</v>
      </c>
      <c r="G77" s="27">
        <f t="shared" si="68"/>
        <v>5000000</v>
      </c>
      <c r="H77" s="27"/>
      <c r="I77" s="39"/>
      <c r="J77" s="27"/>
      <c r="K77" s="27"/>
      <c r="L77" s="27">
        <v>5000000</v>
      </c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64"/>
      <c r="AC77" s="29">
        <f t="shared" si="83"/>
        <v>0.439801</v>
      </c>
      <c r="AD77" s="27">
        <f t="shared" si="69"/>
        <v>2199005</v>
      </c>
      <c r="AE77" s="27"/>
      <c r="AF77" s="27"/>
      <c r="AG77" s="27"/>
      <c r="AH77" s="27"/>
      <c r="AI77" s="27">
        <f>+'[1]JUNIO 2016'!$G$2068</f>
        <v>2199005</v>
      </c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9">
        <f t="shared" si="84"/>
        <v>0.560199</v>
      </c>
      <c r="AZ77" s="27">
        <f t="shared" si="70"/>
        <v>2800995</v>
      </c>
      <c r="BA77" s="27">
        <f t="shared" si="71"/>
        <v>0</v>
      </c>
      <c r="BB77" s="27">
        <f t="shared" si="72"/>
        <v>0</v>
      </c>
      <c r="BC77" s="27">
        <f t="shared" si="72"/>
        <v>0</v>
      </c>
      <c r="BD77" s="27">
        <f t="shared" si="72"/>
        <v>0</v>
      </c>
      <c r="BE77" s="27">
        <f t="shared" si="87"/>
        <v>2800995</v>
      </c>
      <c r="BF77" s="27"/>
      <c r="BG77" s="27"/>
      <c r="BH77" s="27"/>
      <c r="BI77" s="27"/>
      <c r="BJ77" s="27"/>
      <c r="BK77" s="27">
        <f t="shared" si="87"/>
        <v>0</v>
      </c>
      <c r="BL77" s="27">
        <f t="shared" si="87"/>
        <v>0</v>
      </c>
      <c r="BM77" s="27">
        <f t="shared" si="87"/>
        <v>0</v>
      </c>
      <c r="BN77" s="27">
        <f t="shared" si="87"/>
        <v>0</v>
      </c>
      <c r="BO77" s="27">
        <f t="shared" si="87"/>
        <v>0</v>
      </c>
      <c r="BP77" s="27">
        <f t="shared" si="87"/>
        <v>0</v>
      </c>
      <c r="BQ77" s="27"/>
      <c r="BR77" s="27"/>
      <c r="BS77" s="27">
        <f t="shared" si="74"/>
        <v>0</v>
      </c>
      <c r="BT77" s="27">
        <f t="shared" si="88"/>
        <v>0</v>
      </c>
      <c r="BU77" s="29">
        <f t="shared" si="85"/>
        <v>0.439801</v>
      </c>
      <c r="BV77" s="27">
        <f t="shared" si="76"/>
        <v>2199005</v>
      </c>
      <c r="BW77" s="27"/>
      <c r="BX77" s="27"/>
      <c r="BY77" s="27"/>
      <c r="BZ77" s="27"/>
      <c r="CA77" s="27">
        <f>+'[1]JUNIO 2016'!$H$2068</f>
        <v>2199005</v>
      </c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9">
        <f t="shared" si="67"/>
        <v>0.560199</v>
      </c>
      <c r="CR77" s="27">
        <f t="shared" si="77"/>
        <v>2800995</v>
      </c>
      <c r="CS77" s="27">
        <f t="shared" si="92"/>
        <v>0</v>
      </c>
      <c r="CT77" s="27">
        <f t="shared" si="92"/>
        <v>0</v>
      </c>
      <c r="CU77" s="27">
        <f t="shared" si="92"/>
        <v>0</v>
      </c>
      <c r="CV77" s="27">
        <f t="shared" si="92"/>
        <v>0</v>
      </c>
      <c r="CW77" s="27">
        <f t="shared" si="92"/>
        <v>2800995</v>
      </c>
      <c r="CX77" s="27"/>
      <c r="CY77" s="27"/>
      <c r="CZ77" s="27"/>
      <c r="DA77" s="27"/>
      <c r="DB77" s="27"/>
      <c r="DC77" s="27">
        <f t="shared" si="80"/>
        <v>0</v>
      </c>
      <c r="DD77" s="27">
        <f t="shared" si="80"/>
        <v>0</v>
      </c>
      <c r="DE77" s="27">
        <f t="shared" si="80"/>
        <v>0</v>
      </c>
      <c r="DF77" s="27">
        <f t="shared" si="90"/>
        <v>0</v>
      </c>
      <c r="DG77" s="27">
        <f t="shared" si="90"/>
        <v>0</v>
      </c>
      <c r="DH77" s="27">
        <f t="shared" si="90"/>
        <v>0</v>
      </c>
      <c r="DI77" s="27"/>
      <c r="DJ77" s="27"/>
      <c r="DK77" s="61"/>
      <c r="DL77" s="27">
        <f t="shared" si="91"/>
        <v>0</v>
      </c>
    </row>
    <row r="78" spans="1:116" ht="34.5" customHeight="1" x14ac:dyDescent="0.25">
      <c r="A78" s="227"/>
      <c r="B78" s="229" t="s">
        <v>223</v>
      </c>
      <c r="C78" s="23" t="s">
        <v>224</v>
      </c>
      <c r="D78" s="24" t="s">
        <v>225</v>
      </c>
      <c r="E78" s="25">
        <v>520</v>
      </c>
      <c r="F78" s="26" t="s">
        <v>89</v>
      </c>
      <c r="G78" s="27">
        <f t="shared" si="68"/>
        <v>10000000</v>
      </c>
      <c r="H78" s="27"/>
      <c r="I78" s="39"/>
      <c r="J78" s="27"/>
      <c r="K78" s="27"/>
      <c r="L78" s="27">
        <v>10000000</v>
      </c>
      <c r="M78" s="27"/>
      <c r="N78" s="27"/>
      <c r="O78" s="27"/>
      <c r="P78" s="27"/>
      <c r="Q78" s="27"/>
      <c r="R78" s="27"/>
      <c r="S78" s="27"/>
      <c r="T78" s="52"/>
      <c r="U78" s="27"/>
      <c r="V78" s="27"/>
      <c r="W78" s="27"/>
      <c r="X78" s="27"/>
      <c r="Y78" s="27"/>
      <c r="Z78" s="27"/>
      <c r="AA78" s="27"/>
      <c r="AB78" s="64"/>
      <c r="AC78" s="29">
        <f t="shared" si="83"/>
        <v>0.38800000000000001</v>
      </c>
      <c r="AD78" s="27">
        <f t="shared" si="69"/>
        <v>3880000</v>
      </c>
      <c r="AE78" s="27"/>
      <c r="AF78" s="27"/>
      <c r="AG78" s="27"/>
      <c r="AH78" s="27"/>
      <c r="AI78" s="27">
        <f>+'[3]MAYO 2016'!$O$1817</f>
        <v>3880000</v>
      </c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9">
        <f t="shared" si="84"/>
        <v>0.61199999999999999</v>
      </c>
      <c r="AZ78" s="27">
        <f t="shared" si="70"/>
        <v>6120000</v>
      </c>
      <c r="BA78" s="27">
        <f t="shared" si="71"/>
        <v>0</v>
      </c>
      <c r="BB78" s="27">
        <f t="shared" si="72"/>
        <v>0</v>
      </c>
      <c r="BC78" s="27">
        <f t="shared" si="72"/>
        <v>0</v>
      </c>
      <c r="BD78" s="27">
        <f t="shared" si="72"/>
        <v>0</v>
      </c>
      <c r="BE78" s="27">
        <f t="shared" si="87"/>
        <v>6120000</v>
      </c>
      <c r="BF78" s="27">
        <f t="shared" si="87"/>
        <v>0</v>
      </c>
      <c r="BG78" s="27">
        <f t="shared" si="87"/>
        <v>0</v>
      </c>
      <c r="BH78" s="27">
        <f t="shared" si="87"/>
        <v>0</v>
      </c>
      <c r="BI78" s="27">
        <f t="shared" si="87"/>
        <v>0</v>
      </c>
      <c r="BJ78" s="27">
        <f t="shared" si="87"/>
        <v>0</v>
      </c>
      <c r="BK78" s="27">
        <f t="shared" si="87"/>
        <v>0</v>
      </c>
      <c r="BL78" s="27">
        <f t="shared" si="87"/>
        <v>0</v>
      </c>
      <c r="BM78" s="27">
        <f t="shared" si="87"/>
        <v>0</v>
      </c>
      <c r="BN78" s="27">
        <f t="shared" si="87"/>
        <v>0</v>
      </c>
      <c r="BO78" s="27">
        <f t="shared" si="87"/>
        <v>0</v>
      </c>
      <c r="BP78" s="27">
        <f t="shared" si="87"/>
        <v>0</v>
      </c>
      <c r="BQ78" s="27"/>
      <c r="BR78" s="27"/>
      <c r="BS78" s="27">
        <f t="shared" si="74"/>
        <v>0</v>
      </c>
      <c r="BT78" s="27">
        <f t="shared" si="88"/>
        <v>0</v>
      </c>
      <c r="BU78" s="29">
        <f t="shared" si="85"/>
        <v>0.38800000000000001</v>
      </c>
      <c r="BV78" s="27">
        <f t="shared" si="76"/>
        <v>3880000</v>
      </c>
      <c r="BW78" s="27"/>
      <c r="BX78" s="27"/>
      <c r="BY78" s="27"/>
      <c r="BZ78" s="27"/>
      <c r="CA78" s="27">
        <f>+'[1]JUNIO 2016'!$O$2080</f>
        <v>3880000</v>
      </c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9">
        <f t="shared" si="67"/>
        <v>0.61199999999999999</v>
      </c>
      <c r="CR78" s="27">
        <f t="shared" si="77"/>
        <v>6120000</v>
      </c>
      <c r="CS78" s="27">
        <f t="shared" si="92"/>
        <v>0</v>
      </c>
      <c r="CT78" s="27">
        <f t="shared" si="92"/>
        <v>0</v>
      </c>
      <c r="CU78" s="27">
        <f t="shared" si="92"/>
        <v>0</v>
      </c>
      <c r="CV78" s="27">
        <f t="shared" si="92"/>
        <v>0</v>
      </c>
      <c r="CW78" s="27">
        <f t="shared" si="92"/>
        <v>6120000</v>
      </c>
      <c r="CX78" s="27">
        <f t="shared" si="92"/>
        <v>0</v>
      </c>
      <c r="CY78" s="27">
        <f t="shared" si="92"/>
        <v>0</v>
      </c>
      <c r="CZ78" s="27">
        <f t="shared" ref="CZ78:DB82" si="93">+O78-CD78</f>
        <v>0</v>
      </c>
      <c r="DA78" s="27">
        <f t="shared" si="93"/>
        <v>0</v>
      </c>
      <c r="DB78" s="27">
        <f t="shared" si="93"/>
        <v>0</v>
      </c>
      <c r="DC78" s="27">
        <f t="shared" si="80"/>
        <v>0</v>
      </c>
      <c r="DD78" s="27">
        <f t="shared" si="80"/>
        <v>0</v>
      </c>
      <c r="DE78" s="27">
        <f t="shared" si="80"/>
        <v>0</v>
      </c>
      <c r="DF78" s="27">
        <f t="shared" si="90"/>
        <v>0</v>
      </c>
      <c r="DG78" s="27">
        <f t="shared" si="90"/>
        <v>0</v>
      </c>
      <c r="DH78" s="27">
        <f t="shared" si="90"/>
        <v>0</v>
      </c>
      <c r="DI78" s="27"/>
      <c r="DJ78" s="27">
        <f t="shared" ref="DJ78:DK82" si="94">+Y78-CN78</f>
        <v>0</v>
      </c>
      <c r="DK78" s="61">
        <f t="shared" si="94"/>
        <v>0</v>
      </c>
      <c r="DL78" s="27">
        <f t="shared" si="91"/>
        <v>0</v>
      </c>
    </row>
    <row r="79" spans="1:116" ht="30.75" customHeight="1" x14ac:dyDescent="0.25">
      <c r="A79" s="227"/>
      <c r="B79" s="231"/>
      <c r="C79" s="23" t="s">
        <v>226</v>
      </c>
      <c r="D79" s="24" t="s">
        <v>227</v>
      </c>
      <c r="E79" s="25">
        <v>520</v>
      </c>
      <c r="F79" s="26" t="s">
        <v>89</v>
      </c>
      <c r="G79" s="27">
        <f t="shared" si="68"/>
        <v>10000000</v>
      </c>
      <c r="H79" s="27"/>
      <c r="I79" s="39"/>
      <c r="J79" s="39"/>
      <c r="K79" s="39"/>
      <c r="L79" s="27">
        <v>10000000</v>
      </c>
      <c r="M79" s="39"/>
      <c r="N79" s="39"/>
      <c r="O79" s="39"/>
      <c r="P79" s="39"/>
      <c r="Q79" s="39"/>
      <c r="R79" s="32"/>
      <c r="S79" s="39"/>
      <c r="T79" s="52"/>
      <c r="U79" s="39"/>
      <c r="V79" s="39"/>
      <c r="W79" s="39"/>
      <c r="X79" s="39"/>
      <c r="Y79" s="39"/>
      <c r="Z79" s="39"/>
      <c r="AA79" s="71"/>
      <c r="AB79" s="64"/>
      <c r="AC79" s="29">
        <f t="shared" si="83"/>
        <v>0</v>
      </c>
      <c r="AD79" s="27">
        <f t="shared" si="69"/>
        <v>0</v>
      </c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9">
        <f t="shared" si="84"/>
        <v>1</v>
      </c>
      <c r="AZ79" s="27">
        <f t="shared" si="70"/>
        <v>10000000</v>
      </c>
      <c r="BA79" s="27">
        <f t="shared" si="71"/>
        <v>0</v>
      </c>
      <c r="BB79" s="27">
        <f t="shared" si="72"/>
        <v>0</v>
      </c>
      <c r="BC79" s="27">
        <f t="shared" si="72"/>
        <v>0</v>
      </c>
      <c r="BD79" s="27">
        <f t="shared" si="72"/>
        <v>0</v>
      </c>
      <c r="BE79" s="27">
        <f t="shared" si="87"/>
        <v>10000000</v>
      </c>
      <c r="BF79" s="27">
        <f t="shared" si="87"/>
        <v>0</v>
      </c>
      <c r="BG79" s="27">
        <f t="shared" si="87"/>
        <v>0</v>
      </c>
      <c r="BH79" s="27">
        <f t="shared" si="87"/>
        <v>0</v>
      </c>
      <c r="BI79" s="27">
        <f t="shared" si="87"/>
        <v>0</v>
      </c>
      <c r="BJ79" s="27">
        <f t="shared" si="87"/>
        <v>0</v>
      </c>
      <c r="BK79" s="27">
        <f t="shared" si="87"/>
        <v>0</v>
      </c>
      <c r="BL79" s="27">
        <f t="shared" si="87"/>
        <v>0</v>
      </c>
      <c r="BM79" s="27">
        <f t="shared" si="87"/>
        <v>0</v>
      </c>
      <c r="BN79" s="27">
        <f t="shared" si="87"/>
        <v>0</v>
      </c>
      <c r="BO79" s="27">
        <f t="shared" si="87"/>
        <v>0</v>
      </c>
      <c r="BP79" s="27">
        <f t="shared" si="87"/>
        <v>0</v>
      </c>
      <c r="BQ79" s="27"/>
      <c r="BR79" s="27"/>
      <c r="BS79" s="27">
        <f t="shared" si="74"/>
        <v>0</v>
      </c>
      <c r="BT79" s="27">
        <f t="shared" si="88"/>
        <v>0</v>
      </c>
      <c r="BU79" s="29">
        <f t="shared" si="85"/>
        <v>0</v>
      </c>
      <c r="BV79" s="27">
        <f t="shared" si="76"/>
        <v>0</v>
      </c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9">
        <f t="shared" si="67"/>
        <v>1</v>
      </c>
      <c r="CR79" s="27">
        <f t="shared" si="77"/>
        <v>10000000</v>
      </c>
      <c r="CS79" s="27">
        <f t="shared" si="92"/>
        <v>0</v>
      </c>
      <c r="CT79" s="27">
        <f t="shared" si="92"/>
        <v>0</v>
      </c>
      <c r="CU79" s="27">
        <f t="shared" si="92"/>
        <v>0</v>
      </c>
      <c r="CV79" s="27">
        <f t="shared" si="92"/>
        <v>0</v>
      </c>
      <c r="CW79" s="27">
        <f t="shared" si="92"/>
        <v>10000000</v>
      </c>
      <c r="CX79" s="27">
        <f t="shared" si="92"/>
        <v>0</v>
      </c>
      <c r="CY79" s="27">
        <f t="shared" si="92"/>
        <v>0</v>
      </c>
      <c r="CZ79" s="27">
        <f t="shared" si="93"/>
        <v>0</v>
      </c>
      <c r="DA79" s="27">
        <f t="shared" si="93"/>
        <v>0</v>
      </c>
      <c r="DB79" s="27">
        <f t="shared" si="93"/>
        <v>0</v>
      </c>
      <c r="DC79" s="27">
        <f t="shared" si="80"/>
        <v>0</v>
      </c>
      <c r="DD79" s="27">
        <f t="shared" si="80"/>
        <v>0</v>
      </c>
      <c r="DE79" s="27">
        <f t="shared" si="80"/>
        <v>0</v>
      </c>
      <c r="DF79" s="27">
        <f t="shared" si="90"/>
        <v>0</v>
      </c>
      <c r="DG79" s="27">
        <f t="shared" si="90"/>
        <v>0</v>
      </c>
      <c r="DH79" s="27">
        <f t="shared" si="90"/>
        <v>0</v>
      </c>
      <c r="DI79" s="27"/>
      <c r="DJ79" s="27">
        <f t="shared" si="94"/>
        <v>0</v>
      </c>
      <c r="DK79" s="61">
        <f t="shared" si="94"/>
        <v>0</v>
      </c>
      <c r="DL79" s="27">
        <f t="shared" si="91"/>
        <v>0</v>
      </c>
    </row>
    <row r="80" spans="1:116" ht="35.25" customHeight="1" x14ac:dyDescent="0.25">
      <c r="A80" s="227"/>
      <c r="B80" s="229" t="s">
        <v>228</v>
      </c>
      <c r="C80" s="23" t="s">
        <v>229</v>
      </c>
      <c r="D80" s="72" t="s">
        <v>230</v>
      </c>
      <c r="E80" s="25">
        <v>520</v>
      </c>
      <c r="F80" s="73" t="s">
        <v>89</v>
      </c>
      <c r="G80" s="27">
        <f t="shared" si="68"/>
        <v>35000000</v>
      </c>
      <c r="H80" s="27"/>
      <c r="I80" s="39"/>
      <c r="J80" s="39"/>
      <c r="K80" s="39"/>
      <c r="L80" s="52">
        <v>10000000</v>
      </c>
      <c r="M80" s="39"/>
      <c r="N80" s="39"/>
      <c r="O80" s="39"/>
      <c r="P80" s="39"/>
      <c r="Q80" s="39"/>
      <c r="R80" s="32"/>
      <c r="S80" s="39"/>
      <c r="T80" s="52">
        <v>25000000</v>
      </c>
      <c r="U80" s="39"/>
      <c r="V80" s="39"/>
      <c r="W80" s="39"/>
      <c r="X80" s="39"/>
      <c r="Y80" s="39"/>
      <c r="Z80" s="39"/>
      <c r="AA80" s="71"/>
      <c r="AB80" s="64"/>
      <c r="AC80" s="29">
        <f t="shared" si="83"/>
        <v>0.2857142857142857</v>
      </c>
      <c r="AD80" s="27">
        <f t="shared" si="69"/>
        <v>10000000</v>
      </c>
      <c r="AE80" s="27"/>
      <c r="AF80" s="27"/>
      <c r="AG80" s="27"/>
      <c r="AH80" s="27"/>
      <c r="AI80" s="27">
        <f>+'[5]ENERO 2016'!$O$816</f>
        <v>10000000</v>
      </c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9">
        <f t="shared" si="84"/>
        <v>0.7142857142857143</v>
      </c>
      <c r="AZ80" s="27">
        <f t="shared" si="70"/>
        <v>25000000</v>
      </c>
      <c r="BA80" s="27">
        <f t="shared" si="71"/>
        <v>0</v>
      </c>
      <c r="BB80" s="27">
        <f t="shared" si="72"/>
        <v>0</v>
      </c>
      <c r="BC80" s="27">
        <f t="shared" si="72"/>
        <v>0</v>
      </c>
      <c r="BD80" s="27">
        <f t="shared" si="72"/>
        <v>0</v>
      </c>
      <c r="BE80" s="27">
        <f t="shared" si="87"/>
        <v>0</v>
      </c>
      <c r="BF80" s="27">
        <f t="shared" si="87"/>
        <v>0</v>
      </c>
      <c r="BG80" s="27">
        <f t="shared" si="87"/>
        <v>0</v>
      </c>
      <c r="BH80" s="27">
        <f t="shared" si="87"/>
        <v>0</v>
      </c>
      <c r="BI80" s="27">
        <f t="shared" si="87"/>
        <v>0</v>
      </c>
      <c r="BJ80" s="27">
        <f t="shared" si="87"/>
        <v>0</v>
      </c>
      <c r="BK80" s="27">
        <f t="shared" si="87"/>
        <v>0</v>
      </c>
      <c r="BL80" s="27">
        <f t="shared" si="87"/>
        <v>0</v>
      </c>
      <c r="BM80" s="27">
        <f t="shared" si="87"/>
        <v>25000000</v>
      </c>
      <c r="BN80" s="27">
        <f t="shared" si="87"/>
        <v>0</v>
      </c>
      <c r="BO80" s="27">
        <f t="shared" si="87"/>
        <v>0</v>
      </c>
      <c r="BP80" s="27">
        <f t="shared" si="87"/>
        <v>0</v>
      </c>
      <c r="BQ80" s="27"/>
      <c r="BR80" s="27"/>
      <c r="BS80" s="27">
        <f t="shared" si="74"/>
        <v>0</v>
      </c>
      <c r="BT80" s="27">
        <f t="shared" si="88"/>
        <v>0</v>
      </c>
      <c r="BU80" s="29">
        <f t="shared" si="85"/>
        <v>0.2857142857142857</v>
      </c>
      <c r="BV80" s="27">
        <f t="shared" si="76"/>
        <v>10000000</v>
      </c>
      <c r="BW80" s="27"/>
      <c r="BX80" s="27"/>
      <c r="BY80" s="27"/>
      <c r="BZ80" s="27"/>
      <c r="CA80" s="27">
        <v>10000000</v>
      </c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9">
        <f t="shared" si="67"/>
        <v>0.7142857142857143</v>
      </c>
      <c r="CR80" s="27">
        <f t="shared" si="77"/>
        <v>25000000</v>
      </c>
      <c r="CS80" s="27">
        <f t="shared" si="92"/>
        <v>0</v>
      </c>
      <c r="CT80" s="27">
        <f t="shared" si="92"/>
        <v>0</v>
      </c>
      <c r="CU80" s="27">
        <f t="shared" si="92"/>
        <v>0</v>
      </c>
      <c r="CV80" s="27">
        <f t="shared" si="92"/>
        <v>0</v>
      </c>
      <c r="CW80" s="27">
        <f t="shared" si="92"/>
        <v>0</v>
      </c>
      <c r="CX80" s="27">
        <f t="shared" si="92"/>
        <v>0</v>
      </c>
      <c r="CY80" s="27">
        <f t="shared" si="92"/>
        <v>0</v>
      </c>
      <c r="CZ80" s="27">
        <f t="shared" si="93"/>
        <v>0</v>
      </c>
      <c r="DA80" s="27">
        <f t="shared" si="93"/>
        <v>0</v>
      </c>
      <c r="DB80" s="27">
        <f t="shared" si="93"/>
        <v>0</v>
      </c>
      <c r="DC80" s="27">
        <f t="shared" si="80"/>
        <v>0</v>
      </c>
      <c r="DD80" s="27">
        <f t="shared" si="80"/>
        <v>0</v>
      </c>
      <c r="DE80" s="27">
        <f t="shared" si="80"/>
        <v>25000000</v>
      </c>
      <c r="DF80" s="27">
        <f t="shared" si="90"/>
        <v>0</v>
      </c>
      <c r="DG80" s="27">
        <f t="shared" si="90"/>
        <v>0</v>
      </c>
      <c r="DH80" s="27">
        <f t="shared" si="90"/>
        <v>0</v>
      </c>
      <c r="DI80" s="27"/>
      <c r="DJ80" s="27">
        <f t="shared" si="94"/>
        <v>0</v>
      </c>
      <c r="DK80" s="61">
        <f t="shared" si="94"/>
        <v>0</v>
      </c>
      <c r="DL80" s="27">
        <f t="shared" si="91"/>
        <v>0</v>
      </c>
    </row>
    <row r="81" spans="1:116" ht="24.75" customHeight="1" x14ac:dyDescent="0.25">
      <c r="A81" s="227"/>
      <c r="B81" s="230"/>
      <c r="C81" s="23" t="s">
        <v>231</v>
      </c>
      <c r="D81" s="72" t="s">
        <v>232</v>
      </c>
      <c r="E81" s="25">
        <v>520</v>
      </c>
      <c r="F81" s="73" t="s">
        <v>89</v>
      </c>
      <c r="G81" s="27">
        <f t="shared" si="68"/>
        <v>20000000</v>
      </c>
      <c r="H81" s="27"/>
      <c r="I81" s="39"/>
      <c r="J81" s="39"/>
      <c r="K81" s="39"/>
      <c r="L81" s="52">
        <v>10000000</v>
      </c>
      <c r="M81" s="39"/>
      <c r="N81" s="39"/>
      <c r="O81" s="39"/>
      <c r="P81" s="39"/>
      <c r="Q81" s="39"/>
      <c r="R81" s="32"/>
      <c r="S81" s="39"/>
      <c r="T81" s="52">
        <v>10000000</v>
      </c>
      <c r="U81" s="39"/>
      <c r="V81" s="39"/>
      <c r="W81" s="39"/>
      <c r="X81" s="39"/>
      <c r="Y81" s="39"/>
      <c r="Z81" s="39"/>
      <c r="AA81" s="71"/>
      <c r="AB81" s="64"/>
      <c r="AC81" s="29">
        <f t="shared" si="83"/>
        <v>3.0393699999999999E-2</v>
      </c>
      <c r="AD81" s="27">
        <f t="shared" si="69"/>
        <v>607874</v>
      </c>
      <c r="AE81" s="27"/>
      <c r="AF81" s="27"/>
      <c r="AG81" s="27"/>
      <c r="AH81" s="27"/>
      <c r="AI81" s="27">
        <f>+'[4]ABRIL 2016'!$O$1597</f>
        <v>607874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9">
        <f t="shared" si="84"/>
        <v>0.96960630000000003</v>
      </c>
      <c r="AZ81" s="27">
        <f t="shared" si="70"/>
        <v>19392126</v>
      </c>
      <c r="BA81" s="27">
        <f t="shared" si="71"/>
        <v>0</v>
      </c>
      <c r="BB81" s="27">
        <f t="shared" si="72"/>
        <v>0</v>
      </c>
      <c r="BC81" s="27">
        <f t="shared" si="72"/>
        <v>0</v>
      </c>
      <c r="BD81" s="27">
        <f t="shared" si="72"/>
        <v>0</v>
      </c>
      <c r="BE81" s="27">
        <f t="shared" si="87"/>
        <v>9392126</v>
      </c>
      <c r="BF81" s="27">
        <f t="shared" si="87"/>
        <v>0</v>
      </c>
      <c r="BG81" s="27">
        <f t="shared" si="87"/>
        <v>0</v>
      </c>
      <c r="BH81" s="27">
        <f t="shared" si="87"/>
        <v>0</v>
      </c>
      <c r="BI81" s="27">
        <f t="shared" si="87"/>
        <v>0</v>
      </c>
      <c r="BJ81" s="27">
        <f t="shared" si="87"/>
        <v>0</v>
      </c>
      <c r="BK81" s="27">
        <f t="shared" si="87"/>
        <v>0</v>
      </c>
      <c r="BL81" s="27">
        <f t="shared" si="87"/>
        <v>0</v>
      </c>
      <c r="BM81" s="27">
        <f t="shared" si="87"/>
        <v>10000000</v>
      </c>
      <c r="BN81" s="27">
        <f t="shared" si="87"/>
        <v>0</v>
      </c>
      <c r="BO81" s="27">
        <f t="shared" si="87"/>
        <v>0</v>
      </c>
      <c r="BP81" s="27">
        <f t="shared" si="87"/>
        <v>0</v>
      </c>
      <c r="BQ81" s="27"/>
      <c r="BR81" s="27"/>
      <c r="BS81" s="27">
        <f t="shared" si="74"/>
        <v>0</v>
      </c>
      <c r="BT81" s="27">
        <f t="shared" si="88"/>
        <v>0</v>
      </c>
      <c r="BU81" s="29">
        <f t="shared" si="85"/>
        <v>3.0393699999999999E-2</v>
      </c>
      <c r="BV81" s="27">
        <f t="shared" si="76"/>
        <v>607874</v>
      </c>
      <c r="BW81" s="27"/>
      <c r="BX81" s="27"/>
      <c r="BY81" s="27"/>
      <c r="BZ81" s="27"/>
      <c r="CA81" s="27">
        <f>+'[4]ABRIL 2016'!$H$1595</f>
        <v>607874</v>
      </c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9">
        <f t="shared" si="67"/>
        <v>0.96960630000000003</v>
      </c>
      <c r="CR81" s="27">
        <f t="shared" si="77"/>
        <v>19392126</v>
      </c>
      <c r="CS81" s="27">
        <f t="shared" si="92"/>
        <v>0</v>
      </c>
      <c r="CT81" s="27">
        <f t="shared" si="92"/>
        <v>0</v>
      </c>
      <c r="CU81" s="27">
        <f t="shared" si="92"/>
        <v>0</v>
      </c>
      <c r="CV81" s="27">
        <f t="shared" si="92"/>
        <v>0</v>
      </c>
      <c r="CW81" s="27">
        <f t="shared" si="92"/>
        <v>9392126</v>
      </c>
      <c r="CX81" s="27">
        <f t="shared" si="92"/>
        <v>0</v>
      </c>
      <c r="CY81" s="27">
        <f t="shared" si="92"/>
        <v>0</v>
      </c>
      <c r="CZ81" s="27">
        <f t="shared" si="93"/>
        <v>0</v>
      </c>
      <c r="DA81" s="27">
        <f t="shared" si="93"/>
        <v>0</v>
      </c>
      <c r="DB81" s="27">
        <f t="shared" si="93"/>
        <v>0</v>
      </c>
      <c r="DC81" s="27">
        <f t="shared" si="80"/>
        <v>0</v>
      </c>
      <c r="DD81" s="27">
        <f t="shared" si="80"/>
        <v>0</v>
      </c>
      <c r="DE81" s="27">
        <f t="shared" si="80"/>
        <v>10000000</v>
      </c>
      <c r="DF81" s="27">
        <f t="shared" si="90"/>
        <v>0</v>
      </c>
      <c r="DG81" s="27">
        <f t="shared" si="90"/>
        <v>0</v>
      </c>
      <c r="DH81" s="27">
        <f t="shared" si="90"/>
        <v>0</v>
      </c>
      <c r="DI81" s="27"/>
      <c r="DJ81" s="27">
        <f t="shared" si="94"/>
        <v>0</v>
      </c>
      <c r="DK81" s="61">
        <f t="shared" si="94"/>
        <v>0</v>
      </c>
      <c r="DL81" s="27">
        <f t="shared" si="91"/>
        <v>0</v>
      </c>
    </row>
    <row r="82" spans="1:116" ht="24.75" customHeight="1" x14ac:dyDescent="0.25">
      <c r="A82" s="227"/>
      <c r="B82" s="230"/>
      <c r="C82" s="23" t="s">
        <v>233</v>
      </c>
      <c r="D82" s="72" t="s">
        <v>234</v>
      </c>
      <c r="E82" s="25">
        <v>520</v>
      </c>
      <c r="F82" s="73" t="s">
        <v>89</v>
      </c>
      <c r="G82" s="27">
        <f t="shared" si="68"/>
        <v>5000000</v>
      </c>
      <c r="H82" s="27"/>
      <c r="I82" s="39"/>
      <c r="J82" s="39"/>
      <c r="K82" s="39"/>
      <c r="L82" s="27">
        <v>1098558</v>
      </c>
      <c r="M82" s="39"/>
      <c r="N82" s="39"/>
      <c r="O82" s="39"/>
      <c r="P82" s="39"/>
      <c r="Q82" s="39"/>
      <c r="R82" s="32"/>
      <c r="S82" s="39"/>
      <c r="T82" s="52">
        <f>48901442-45000000</f>
        <v>3901442</v>
      </c>
      <c r="U82" s="39"/>
      <c r="V82" s="39"/>
      <c r="W82" s="39"/>
      <c r="X82" s="39"/>
      <c r="Y82" s="39"/>
      <c r="Z82" s="39"/>
      <c r="AA82" s="71"/>
      <c r="AB82" s="64"/>
      <c r="AC82" s="29">
        <f t="shared" si="83"/>
        <v>0</v>
      </c>
      <c r="AD82" s="27">
        <f t="shared" si="69"/>
        <v>0</v>
      </c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9">
        <f t="shared" si="84"/>
        <v>1</v>
      </c>
      <c r="AZ82" s="27">
        <f t="shared" si="70"/>
        <v>5000000</v>
      </c>
      <c r="BA82" s="27">
        <f t="shared" si="71"/>
        <v>0</v>
      </c>
      <c r="BB82" s="27">
        <f t="shared" si="72"/>
        <v>0</v>
      </c>
      <c r="BC82" s="27">
        <f t="shared" si="72"/>
        <v>0</v>
      </c>
      <c r="BD82" s="27">
        <f t="shared" si="72"/>
        <v>0</v>
      </c>
      <c r="BE82" s="27">
        <f t="shared" si="87"/>
        <v>1098558</v>
      </c>
      <c r="BF82" s="27">
        <f t="shared" si="87"/>
        <v>0</v>
      </c>
      <c r="BG82" s="27">
        <f t="shared" si="87"/>
        <v>0</v>
      </c>
      <c r="BH82" s="27">
        <f t="shared" si="87"/>
        <v>0</v>
      </c>
      <c r="BI82" s="27">
        <f t="shared" si="87"/>
        <v>0</v>
      </c>
      <c r="BJ82" s="27">
        <f t="shared" si="87"/>
        <v>0</v>
      </c>
      <c r="BK82" s="27">
        <f t="shared" si="87"/>
        <v>0</v>
      </c>
      <c r="BL82" s="27">
        <f t="shared" si="87"/>
        <v>0</v>
      </c>
      <c r="BM82" s="27">
        <f t="shared" si="87"/>
        <v>3901442</v>
      </c>
      <c r="BN82" s="27">
        <f t="shared" si="87"/>
        <v>0</v>
      </c>
      <c r="BO82" s="27">
        <f t="shared" si="87"/>
        <v>0</v>
      </c>
      <c r="BP82" s="27">
        <f t="shared" si="87"/>
        <v>0</v>
      </c>
      <c r="BQ82" s="27"/>
      <c r="BR82" s="27"/>
      <c r="BS82" s="27">
        <f t="shared" si="74"/>
        <v>0</v>
      </c>
      <c r="BT82" s="27">
        <f t="shared" si="88"/>
        <v>0</v>
      </c>
      <c r="BU82" s="29">
        <f t="shared" si="85"/>
        <v>0</v>
      </c>
      <c r="BV82" s="27">
        <f t="shared" si="76"/>
        <v>0</v>
      </c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9">
        <f t="shared" si="67"/>
        <v>1</v>
      </c>
      <c r="CR82" s="27">
        <f t="shared" si="77"/>
        <v>5000000</v>
      </c>
      <c r="CS82" s="27">
        <f t="shared" si="92"/>
        <v>0</v>
      </c>
      <c r="CT82" s="27">
        <f t="shared" si="92"/>
        <v>0</v>
      </c>
      <c r="CU82" s="27">
        <f t="shared" si="92"/>
        <v>0</v>
      </c>
      <c r="CV82" s="27">
        <f t="shared" si="92"/>
        <v>0</v>
      </c>
      <c r="CW82" s="27">
        <f t="shared" si="92"/>
        <v>1098558</v>
      </c>
      <c r="CX82" s="27">
        <f t="shared" si="92"/>
        <v>0</v>
      </c>
      <c r="CY82" s="27">
        <f t="shared" si="92"/>
        <v>0</v>
      </c>
      <c r="CZ82" s="27">
        <f t="shared" si="93"/>
        <v>0</v>
      </c>
      <c r="DA82" s="27">
        <f t="shared" si="93"/>
        <v>0</v>
      </c>
      <c r="DB82" s="27">
        <f t="shared" si="93"/>
        <v>0</v>
      </c>
      <c r="DC82" s="27">
        <f t="shared" si="80"/>
        <v>0</v>
      </c>
      <c r="DD82" s="27">
        <f t="shared" si="80"/>
        <v>0</v>
      </c>
      <c r="DE82" s="27">
        <f t="shared" si="80"/>
        <v>3901442</v>
      </c>
      <c r="DF82" s="27">
        <f t="shared" si="90"/>
        <v>0</v>
      </c>
      <c r="DG82" s="27">
        <f t="shared" si="90"/>
        <v>0</v>
      </c>
      <c r="DH82" s="27">
        <f t="shared" si="90"/>
        <v>0</v>
      </c>
      <c r="DI82" s="27"/>
      <c r="DJ82" s="27">
        <f t="shared" si="94"/>
        <v>0</v>
      </c>
      <c r="DK82" s="61">
        <f t="shared" si="94"/>
        <v>0</v>
      </c>
      <c r="DL82" s="27">
        <f t="shared" si="91"/>
        <v>0</v>
      </c>
    </row>
    <row r="83" spans="1:116" ht="21" customHeight="1" x14ac:dyDescent="0.25">
      <c r="A83" s="227"/>
      <c r="B83" s="231"/>
      <c r="C83" s="23" t="s">
        <v>235</v>
      </c>
      <c r="D83" s="72" t="s">
        <v>236</v>
      </c>
      <c r="E83" s="25">
        <v>520</v>
      </c>
      <c r="F83" s="73" t="s">
        <v>89</v>
      </c>
      <c r="G83" s="27">
        <f t="shared" si="68"/>
        <v>20000000</v>
      </c>
      <c r="H83" s="27"/>
      <c r="I83" s="39"/>
      <c r="J83" s="39"/>
      <c r="K83" s="39"/>
      <c r="L83" s="27">
        <v>10000000</v>
      </c>
      <c r="M83" s="39"/>
      <c r="N83" s="39"/>
      <c r="O83" s="39"/>
      <c r="P83" s="39"/>
      <c r="Q83" s="39"/>
      <c r="R83" s="32"/>
      <c r="S83" s="39"/>
      <c r="T83" s="52">
        <v>10000000</v>
      </c>
      <c r="U83" s="39"/>
      <c r="V83" s="39"/>
      <c r="W83" s="39"/>
      <c r="X83" s="39"/>
      <c r="Y83" s="39"/>
      <c r="Z83" s="39"/>
      <c r="AA83" s="71"/>
      <c r="AB83" s="64"/>
      <c r="AC83" s="29">
        <f t="shared" si="83"/>
        <v>0.70690160000000002</v>
      </c>
      <c r="AD83" s="27">
        <f t="shared" si="69"/>
        <v>14138032</v>
      </c>
      <c r="AE83" s="27"/>
      <c r="AF83" s="27"/>
      <c r="AG83" s="27"/>
      <c r="AH83" s="27"/>
      <c r="AI83" s="27">
        <f>+'[4]ABRIL 2016'!$O$1609</f>
        <v>9950000</v>
      </c>
      <c r="AJ83" s="27"/>
      <c r="AK83" s="27"/>
      <c r="AL83" s="27"/>
      <c r="AM83" s="27"/>
      <c r="AN83" s="27"/>
      <c r="AO83" s="27"/>
      <c r="AP83" s="27"/>
      <c r="AQ83" s="27">
        <f>+'[1]JUNIO 2016'!$W$2109</f>
        <v>4188032</v>
      </c>
      <c r="AR83" s="27"/>
      <c r="AS83" s="27"/>
      <c r="AT83" s="27"/>
      <c r="AU83" s="27"/>
      <c r="AV83" s="27"/>
      <c r="AW83" s="27"/>
      <c r="AX83" s="27"/>
      <c r="AY83" s="29">
        <f t="shared" si="84"/>
        <v>0.29309839999999998</v>
      </c>
      <c r="AZ83" s="27">
        <f t="shared" si="70"/>
        <v>5861968</v>
      </c>
      <c r="BA83" s="27">
        <f t="shared" si="71"/>
        <v>0</v>
      </c>
      <c r="BB83" s="27">
        <f t="shared" si="72"/>
        <v>0</v>
      </c>
      <c r="BC83" s="27">
        <f t="shared" si="72"/>
        <v>0</v>
      </c>
      <c r="BD83" s="27">
        <f t="shared" si="72"/>
        <v>0</v>
      </c>
      <c r="BE83" s="27">
        <f t="shared" si="87"/>
        <v>50000</v>
      </c>
      <c r="BF83" s="27">
        <f t="shared" si="87"/>
        <v>0</v>
      </c>
      <c r="BG83" s="27">
        <f t="shared" si="87"/>
        <v>0</v>
      </c>
      <c r="BH83" s="27">
        <f t="shared" si="87"/>
        <v>0</v>
      </c>
      <c r="BI83" s="27">
        <f t="shared" si="87"/>
        <v>0</v>
      </c>
      <c r="BJ83" s="27">
        <f t="shared" si="87"/>
        <v>0</v>
      </c>
      <c r="BK83" s="27">
        <f t="shared" si="87"/>
        <v>0</v>
      </c>
      <c r="BL83" s="27">
        <f t="shared" si="87"/>
        <v>0</v>
      </c>
      <c r="BM83" s="27">
        <f t="shared" si="87"/>
        <v>5811968</v>
      </c>
      <c r="BN83" s="27">
        <f t="shared" si="87"/>
        <v>0</v>
      </c>
      <c r="BO83" s="27">
        <f t="shared" si="87"/>
        <v>0</v>
      </c>
      <c r="BP83" s="27">
        <f t="shared" si="87"/>
        <v>0</v>
      </c>
      <c r="BQ83" s="27"/>
      <c r="BR83" s="27">
        <f>+Y83-AV83</f>
        <v>0</v>
      </c>
      <c r="BS83" s="27">
        <f t="shared" si="74"/>
        <v>0</v>
      </c>
      <c r="BT83" s="27">
        <f t="shared" si="88"/>
        <v>0</v>
      </c>
      <c r="BU83" s="29">
        <f t="shared" si="85"/>
        <v>0.65140160000000003</v>
      </c>
      <c r="BV83" s="27">
        <f t="shared" si="76"/>
        <v>13028032</v>
      </c>
      <c r="BW83" s="27"/>
      <c r="BX83" s="27"/>
      <c r="BY83" s="27"/>
      <c r="BZ83" s="27"/>
      <c r="CA83" s="27">
        <v>9950000</v>
      </c>
      <c r="CB83" s="27"/>
      <c r="CC83" s="27"/>
      <c r="CD83" s="27"/>
      <c r="CE83" s="27"/>
      <c r="CF83" s="27"/>
      <c r="CG83" s="27"/>
      <c r="CH83" s="27"/>
      <c r="CI83" s="27">
        <f>+'[1]JUNIO 2016'!$H$2114+'[1]JUNIO 2016'!$H$2117+'[1]JUNIO 2016'!$H$2112+'[1]JUNIO 2016'!$H$2113</f>
        <v>3078032</v>
      </c>
      <c r="CJ83" s="27"/>
      <c r="CK83" s="27"/>
      <c r="CL83" s="27"/>
      <c r="CM83" s="27"/>
      <c r="CN83" s="27"/>
      <c r="CO83" s="27"/>
      <c r="CP83" s="27"/>
      <c r="CQ83" s="29">
        <f t="shared" si="67"/>
        <v>0.34859839999999997</v>
      </c>
      <c r="CR83" s="27">
        <f t="shared" si="77"/>
        <v>6971968</v>
      </c>
      <c r="CS83" s="27">
        <f t="shared" si="92"/>
        <v>0</v>
      </c>
      <c r="CT83" s="27">
        <f t="shared" si="92"/>
        <v>0</v>
      </c>
      <c r="CU83" s="27">
        <f t="shared" si="92"/>
        <v>0</v>
      </c>
      <c r="CV83" s="27">
        <f t="shared" si="92"/>
        <v>0</v>
      </c>
      <c r="CW83" s="27">
        <f t="shared" si="92"/>
        <v>50000</v>
      </c>
      <c r="CX83" s="27">
        <f t="shared" si="92"/>
        <v>0</v>
      </c>
      <c r="CY83" s="27">
        <f t="shared" si="92"/>
        <v>0</v>
      </c>
      <c r="CZ83" s="27">
        <f>O83-CD83</f>
        <v>0</v>
      </c>
      <c r="DA83" s="27">
        <f>P83-CE83</f>
        <v>0</v>
      </c>
      <c r="DB83" s="27">
        <f>Q83-CF83</f>
        <v>0</v>
      </c>
      <c r="DC83" s="27">
        <f t="shared" si="80"/>
        <v>0</v>
      </c>
      <c r="DD83" s="27">
        <f t="shared" si="80"/>
        <v>0</v>
      </c>
      <c r="DE83" s="27">
        <f t="shared" si="80"/>
        <v>6921968</v>
      </c>
      <c r="DF83" s="27">
        <f>U83-CJ83</f>
        <v>0</v>
      </c>
      <c r="DG83" s="27">
        <f>V83-CK83</f>
        <v>0</v>
      </c>
      <c r="DH83" s="27">
        <f>W83-CL83</f>
        <v>0</v>
      </c>
      <c r="DI83" s="27"/>
      <c r="DJ83" s="27">
        <f>Y83-CN83</f>
        <v>0</v>
      </c>
      <c r="DK83" s="27">
        <f>Z83-CO83</f>
        <v>0</v>
      </c>
      <c r="DL83" s="27">
        <f>AA83-CP83</f>
        <v>0</v>
      </c>
    </row>
    <row r="84" spans="1:116" s="64" customFormat="1" ht="30" x14ac:dyDescent="0.25">
      <c r="A84" s="227" t="s">
        <v>175</v>
      </c>
      <c r="B84" s="229" t="s">
        <v>237</v>
      </c>
      <c r="C84" s="74" t="s">
        <v>238</v>
      </c>
      <c r="D84" s="24" t="s">
        <v>239</v>
      </c>
      <c r="E84" s="36">
        <v>520</v>
      </c>
      <c r="F84" s="73" t="s">
        <v>89</v>
      </c>
      <c r="G84" s="27">
        <f t="shared" si="68"/>
        <v>6000000</v>
      </c>
      <c r="H84" s="61"/>
      <c r="I84" s="32"/>
      <c r="J84" s="32"/>
      <c r="K84" s="32"/>
      <c r="L84" s="61">
        <v>6000000</v>
      </c>
      <c r="M84" s="32"/>
      <c r="N84" s="32"/>
      <c r="O84" s="32"/>
      <c r="P84" s="32"/>
      <c r="Q84" s="32"/>
      <c r="R84" s="32"/>
      <c r="S84" s="32"/>
      <c r="T84" s="52"/>
      <c r="U84" s="61"/>
      <c r="V84" s="61"/>
      <c r="W84" s="61"/>
      <c r="X84" s="61"/>
      <c r="Y84" s="61"/>
      <c r="Z84" s="61"/>
      <c r="AA84" s="61"/>
      <c r="AC84" s="65">
        <f t="shared" si="83"/>
        <v>0</v>
      </c>
      <c r="AD84" s="27">
        <f t="shared" si="69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84"/>
        <v>1</v>
      </c>
      <c r="AZ84" s="27">
        <f t="shared" si="70"/>
        <v>6000000</v>
      </c>
      <c r="BA84" s="27">
        <f t="shared" si="71"/>
        <v>0</v>
      </c>
      <c r="BB84" s="61">
        <f t="shared" si="72"/>
        <v>0</v>
      </c>
      <c r="BC84" s="61">
        <f t="shared" si="72"/>
        <v>0</v>
      </c>
      <c r="BD84" s="27">
        <f t="shared" si="72"/>
        <v>0</v>
      </c>
      <c r="BE84" s="61">
        <f t="shared" si="87"/>
        <v>6000000</v>
      </c>
      <c r="BF84" s="61">
        <f t="shared" si="87"/>
        <v>0</v>
      </c>
      <c r="BG84" s="27">
        <f t="shared" si="87"/>
        <v>0</v>
      </c>
      <c r="BH84" s="61">
        <f t="shared" si="87"/>
        <v>0</v>
      </c>
      <c r="BI84" s="61">
        <f t="shared" si="87"/>
        <v>0</v>
      </c>
      <c r="BJ84" s="27">
        <f t="shared" si="87"/>
        <v>0</v>
      </c>
      <c r="BK84" s="61">
        <f t="shared" si="87"/>
        <v>0</v>
      </c>
      <c r="BL84" s="61">
        <f t="shared" si="87"/>
        <v>0</v>
      </c>
      <c r="BM84" s="61">
        <f t="shared" si="87"/>
        <v>0</v>
      </c>
      <c r="BN84" s="61">
        <f t="shared" si="87"/>
        <v>0</v>
      </c>
      <c r="BO84" s="61">
        <f t="shared" si="87"/>
        <v>0</v>
      </c>
      <c r="BP84" s="61">
        <f t="shared" si="87"/>
        <v>0</v>
      </c>
      <c r="BQ84" s="61"/>
      <c r="BR84" s="61"/>
      <c r="BS84" s="27">
        <f t="shared" si="74"/>
        <v>0</v>
      </c>
      <c r="BT84" s="61">
        <f t="shared" si="88"/>
        <v>0</v>
      </c>
      <c r="BU84" s="65">
        <f t="shared" si="85"/>
        <v>0</v>
      </c>
      <c r="BV84" s="27">
        <f t="shared" si="76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67"/>
        <v>1</v>
      </c>
      <c r="CR84" s="27">
        <f t="shared" si="77"/>
        <v>6000000</v>
      </c>
      <c r="CS84" s="27">
        <f t="shared" si="92"/>
        <v>0</v>
      </c>
      <c r="CT84" s="27">
        <f t="shared" si="92"/>
        <v>0</v>
      </c>
      <c r="CU84" s="61">
        <f t="shared" si="92"/>
        <v>0</v>
      </c>
      <c r="CV84" s="27">
        <f t="shared" si="92"/>
        <v>0</v>
      </c>
      <c r="CW84" s="61">
        <f t="shared" si="92"/>
        <v>6000000</v>
      </c>
      <c r="CX84" s="61">
        <f t="shared" si="92"/>
        <v>0</v>
      </c>
      <c r="CY84" s="27">
        <f t="shared" si="92"/>
        <v>0</v>
      </c>
      <c r="CZ84" s="61">
        <f t="shared" ref="CZ84:DH90" si="95">+O84-CD84</f>
        <v>0</v>
      </c>
      <c r="DA84" s="61">
        <f t="shared" si="95"/>
        <v>0</v>
      </c>
      <c r="DB84" s="27">
        <f t="shared" si="95"/>
        <v>0</v>
      </c>
      <c r="DC84" s="61">
        <f t="shared" si="80"/>
        <v>0</v>
      </c>
      <c r="DD84" s="61">
        <f t="shared" si="80"/>
        <v>0</v>
      </c>
      <c r="DE84" s="61">
        <f t="shared" si="80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</row>
    <row r="85" spans="1:116" s="64" customFormat="1" ht="38.25" customHeight="1" x14ac:dyDescent="0.25">
      <c r="A85" s="227"/>
      <c r="B85" s="231"/>
      <c r="C85" s="74" t="s">
        <v>240</v>
      </c>
      <c r="D85" s="24" t="s">
        <v>241</v>
      </c>
      <c r="E85" s="36">
        <v>520</v>
      </c>
      <c r="F85" s="73" t="s">
        <v>89</v>
      </c>
      <c r="G85" s="27">
        <f t="shared" si="68"/>
        <v>6000000</v>
      </c>
      <c r="H85" s="61"/>
      <c r="I85" s="32"/>
      <c r="J85" s="32"/>
      <c r="K85" s="32"/>
      <c r="L85" s="63">
        <v>6000000</v>
      </c>
      <c r="M85" s="32"/>
      <c r="N85" s="32"/>
      <c r="O85" s="32"/>
      <c r="P85" s="32"/>
      <c r="Q85" s="32"/>
      <c r="R85" s="32"/>
      <c r="S85" s="32"/>
      <c r="T85" s="52"/>
      <c r="U85" s="61"/>
      <c r="V85" s="61"/>
      <c r="W85" s="61"/>
      <c r="X85" s="61"/>
      <c r="Y85" s="61"/>
      <c r="Z85" s="61"/>
      <c r="AA85" s="61"/>
      <c r="AC85" s="65">
        <f t="shared" si="83"/>
        <v>0</v>
      </c>
      <c r="AD85" s="27">
        <f t="shared" si="69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84"/>
        <v>1</v>
      </c>
      <c r="AZ85" s="27">
        <f t="shared" si="70"/>
        <v>6000000</v>
      </c>
      <c r="BA85" s="27">
        <f t="shared" si="71"/>
        <v>0</v>
      </c>
      <c r="BB85" s="61">
        <f t="shared" si="72"/>
        <v>0</v>
      </c>
      <c r="BC85" s="61">
        <f t="shared" si="72"/>
        <v>0</v>
      </c>
      <c r="BD85" s="27">
        <f t="shared" si="72"/>
        <v>0</v>
      </c>
      <c r="BE85" s="61">
        <f t="shared" si="87"/>
        <v>6000000</v>
      </c>
      <c r="BF85" s="61">
        <f t="shared" si="87"/>
        <v>0</v>
      </c>
      <c r="BG85" s="27">
        <f t="shared" si="87"/>
        <v>0</v>
      </c>
      <c r="BH85" s="61">
        <f t="shared" si="87"/>
        <v>0</v>
      </c>
      <c r="BI85" s="61">
        <f t="shared" si="87"/>
        <v>0</v>
      </c>
      <c r="BJ85" s="27">
        <f t="shared" si="87"/>
        <v>0</v>
      </c>
      <c r="BK85" s="61">
        <f t="shared" si="87"/>
        <v>0</v>
      </c>
      <c r="BL85" s="61">
        <f t="shared" si="87"/>
        <v>0</v>
      </c>
      <c r="BM85" s="61">
        <f t="shared" si="87"/>
        <v>0</v>
      </c>
      <c r="BN85" s="61">
        <f t="shared" si="87"/>
        <v>0</v>
      </c>
      <c r="BO85" s="61">
        <f t="shared" si="87"/>
        <v>0</v>
      </c>
      <c r="BP85" s="61">
        <f t="shared" si="87"/>
        <v>0</v>
      </c>
      <c r="BQ85" s="61"/>
      <c r="BR85" s="61">
        <f>+Y85-AV85</f>
        <v>0</v>
      </c>
      <c r="BS85" s="27">
        <f t="shared" si="74"/>
        <v>0</v>
      </c>
      <c r="BT85" s="61">
        <f t="shared" si="88"/>
        <v>0</v>
      </c>
      <c r="BU85" s="65">
        <f t="shared" si="85"/>
        <v>0</v>
      </c>
      <c r="BV85" s="27">
        <f t="shared" si="76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67"/>
        <v>1</v>
      </c>
      <c r="CR85" s="27">
        <f t="shared" si="77"/>
        <v>6000000</v>
      </c>
      <c r="CS85" s="27">
        <f t="shared" si="92"/>
        <v>0</v>
      </c>
      <c r="CT85" s="27">
        <f t="shared" si="92"/>
        <v>0</v>
      </c>
      <c r="CU85" s="61">
        <f t="shared" si="92"/>
        <v>0</v>
      </c>
      <c r="CV85" s="27">
        <f t="shared" si="92"/>
        <v>0</v>
      </c>
      <c r="CW85" s="61">
        <f t="shared" si="92"/>
        <v>6000000</v>
      </c>
      <c r="CX85" s="61">
        <f t="shared" si="92"/>
        <v>0</v>
      </c>
      <c r="CY85" s="27">
        <f t="shared" si="92"/>
        <v>0</v>
      </c>
      <c r="CZ85" s="61">
        <f t="shared" si="95"/>
        <v>0</v>
      </c>
      <c r="DA85" s="61">
        <f t="shared" si="95"/>
        <v>0</v>
      </c>
      <c r="DB85" s="27">
        <f t="shared" si="95"/>
        <v>0</v>
      </c>
      <c r="DC85" s="61">
        <f t="shared" si="80"/>
        <v>0</v>
      </c>
      <c r="DD85" s="61">
        <f t="shared" si="80"/>
        <v>0</v>
      </c>
      <c r="DE85" s="61">
        <f t="shared" si="80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</row>
    <row r="86" spans="1:116" ht="20.25" customHeight="1" x14ac:dyDescent="0.25">
      <c r="A86" s="227"/>
      <c r="B86" s="229" t="s">
        <v>242</v>
      </c>
      <c r="C86" s="23" t="s">
        <v>243</v>
      </c>
      <c r="D86" s="24" t="s">
        <v>244</v>
      </c>
      <c r="E86" s="25">
        <v>520</v>
      </c>
      <c r="F86" s="73" t="s">
        <v>89</v>
      </c>
      <c r="G86" s="27">
        <f t="shared" si="68"/>
        <v>33106800</v>
      </c>
      <c r="H86" s="27"/>
      <c r="I86" s="39"/>
      <c r="J86" s="27"/>
      <c r="K86" s="27"/>
      <c r="L86" s="63">
        <v>33106800</v>
      </c>
      <c r="M86" s="39"/>
      <c r="N86" s="39"/>
      <c r="O86" s="39"/>
      <c r="P86" s="39"/>
      <c r="Q86" s="39"/>
      <c r="R86" s="32"/>
      <c r="S86" s="39"/>
      <c r="T86" s="52"/>
      <c r="U86" s="27"/>
      <c r="V86" s="27"/>
      <c r="W86" s="27"/>
      <c r="X86" s="27"/>
      <c r="Y86" s="27"/>
      <c r="Z86" s="27"/>
      <c r="AA86" s="27"/>
      <c r="AB86" s="64"/>
      <c r="AC86" s="29">
        <f t="shared" si="83"/>
        <v>1</v>
      </c>
      <c r="AD86" s="27">
        <f t="shared" si="69"/>
        <v>33106800</v>
      </c>
      <c r="AE86" s="27"/>
      <c r="AF86" s="27"/>
      <c r="AG86" s="27"/>
      <c r="AH86" s="27"/>
      <c r="AI86" s="27">
        <f>+'[5]ENERO 2016'!$O$848</f>
        <v>33106800</v>
      </c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9">
        <f t="shared" si="84"/>
        <v>0</v>
      </c>
      <c r="AZ86" s="27">
        <f t="shared" si="70"/>
        <v>0</v>
      </c>
      <c r="BA86" s="27">
        <f t="shared" si="71"/>
        <v>0</v>
      </c>
      <c r="BB86" s="27">
        <f t="shared" si="72"/>
        <v>0</v>
      </c>
      <c r="BC86" s="27">
        <f t="shared" si="72"/>
        <v>0</v>
      </c>
      <c r="BD86" s="27">
        <f t="shared" si="72"/>
        <v>0</v>
      </c>
      <c r="BE86" s="27">
        <f t="shared" si="87"/>
        <v>0</v>
      </c>
      <c r="BF86" s="27">
        <f t="shared" si="87"/>
        <v>0</v>
      </c>
      <c r="BG86" s="27">
        <f t="shared" si="87"/>
        <v>0</v>
      </c>
      <c r="BH86" s="61">
        <f t="shared" si="87"/>
        <v>0</v>
      </c>
      <c r="BI86" s="27">
        <f t="shared" si="87"/>
        <v>0</v>
      </c>
      <c r="BJ86" s="27">
        <f t="shared" si="87"/>
        <v>0</v>
      </c>
      <c r="BK86" s="27">
        <f t="shared" si="87"/>
        <v>0</v>
      </c>
      <c r="BL86" s="27">
        <f t="shared" si="87"/>
        <v>0</v>
      </c>
      <c r="BM86" s="27">
        <f t="shared" si="87"/>
        <v>0</v>
      </c>
      <c r="BN86" s="27">
        <f t="shared" si="87"/>
        <v>0</v>
      </c>
      <c r="BO86" s="27">
        <f t="shared" si="87"/>
        <v>0</v>
      </c>
      <c r="BP86" s="27">
        <f t="shared" si="87"/>
        <v>0</v>
      </c>
      <c r="BQ86" s="27"/>
      <c r="BR86" s="27"/>
      <c r="BS86" s="27">
        <f t="shared" si="74"/>
        <v>0</v>
      </c>
      <c r="BT86" s="27">
        <f t="shared" si="88"/>
        <v>0</v>
      </c>
      <c r="BU86" s="29">
        <f t="shared" si="85"/>
        <v>1</v>
      </c>
      <c r="BV86" s="27">
        <f t="shared" si="76"/>
        <v>33106800</v>
      </c>
      <c r="BW86" s="27"/>
      <c r="BX86" s="27"/>
      <c r="BY86" s="27"/>
      <c r="BZ86" s="27"/>
      <c r="CA86" s="27">
        <f>+'[4]ABRIL 2016'!$H$1625</f>
        <v>33106800</v>
      </c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65">
        <f t="shared" si="67"/>
        <v>0</v>
      </c>
      <c r="CR86" s="27">
        <f t="shared" si="77"/>
        <v>0</v>
      </c>
      <c r="CS86" s="27">
        <f t="shared" si="92"/>
        <v>0</v>
      </c>
      <c r="CT86" s="27">
        <f t="shared" si="92"/>
        <v>0</v>
      </c>
      <c r="CU86" s="61">
        <f t="shared" si="92"/>
        <v>0</v>
      </c>
      <c r="CV86" s="27">
        <f t="shared" si="92"/>
        <v>0</v>
      </c>
      <c r="CW86" s="27">
        <f t="shared" si="92"/>
        <v>0</v>
      </c>
      <c r="CX86" s="61">
        <f t="shared" si="92"/>
        <v>0</v>
      </c>
      <c r="CY86" s="27">
        <f t="shared" si="92"/>
        <v>0</v>
      </c>
      <c r="CZ86" s="61">
        <f t="shared" si="95"/>
        <v>0</v>
      </c>
      <c r="DA86" s="61">
        <f t="shared" si="95"/>
        <v>0</v>
      </c>
      <c r="DB86" s="27">
        <f t="shared" si="95"/>
        <v>0</v>
      </c>
      <c r="DC86" s="61">
        <f t="shared" si="80"/>
        <v>0</v>
      </c>
      <c r="DD86" s="27">
        <f t="shared" si="80"/>
        <v>0</v>
      </c>
      <c r="DE86" s="27">
        <f t="shared" si="80"/>
        <v>0</v>
      </c>
      <c r="DF86" s="27">
        <f t="shared" ref="DF86:DH88" si="96">+U86-CJ86</f>
        <v>0</v>
      </c>
      <c r="DG86" s="27">
        <f t="shared" si="96"/>
        <v>0</v>
      </c>
      <c r="DH86" s="27">
        <f t="shared" si="96"/>
        <v>0</v>
      </c>
      <c r="DI86" s="27"/>
      <c r="DJ86" s="27">
        <f>+Y86-CN86</f>
        <v>0</v>
      </c>
      <c r="DK86" s="61">
        <f>Z86-CO86</f>
        <v>0</v>
      </c>
      <c r="DL86" s="27">
        <f>+AA86-CP86</f>
        <v>0</v>
      </c>
    </row>
    <row r="87" spans="1:116" ht="19.5" customHeight="1" x14ac:dyDescent="0.25">
      <c r="A87" s="227"/>
      <c r="B87" s="230"/>
      <c r="C87" s="23" t="s">
        <v>245</v>
      </c>
      <c r="D87" s="24" t="s">
        <v>246</v>
      </c>
      <c r="E87" s="25">
        <v>520</v>
      </c>
      <c r="F87" s="73" t="s">
        <v>89</v>
      </c>
      <c r="G87" s="27">
        <f t="shared" si="68"/>
        <v>15184000</v>
      </c>
      <c r="H87" s="27"/>
      <c r="I87" s="39"/>
      <c r="J87" s="27"/>
      <c r="K87" s="27"/>
      <c r="L87" s="63">
        <v>15184000</v>
      </c>
      <c r="M87" s="39"/>
      <c r="N87" s="39"/>
      <c r="O87" s="39"/>
      <c r="P87" s="39"/>
      <c r="Q87" s="39"/>
      <c r="R87" s="32"/>
      <c r="S87" s="39"/>
      <c r="T87" s="52"/>
      <c r="U87" s="27"/>
      <c r="V87" s="27"/>
      <c r="W87" s="27"/>
      <c r="X87" s="27"/>
      <c r="Y87" s="27"/>
      <c r="Z87" s="27"/>
      <c r="AA87" s="27"/>
      <c r="AB87" s="64"/>
      <c r="AC87" s="29">
        <f t="shared" si="83"/>
        <v>1</v>
      </c>
      <c r="AD87" s="27">
        <f t="shared" si="69"/>
        <v>15184000</v>
      </c>
      <c r="AE87" s="27"/>
      <c r="AF87" s="27"/>
      <c r="AG87" s="27"/>
      <c r="AH87" s="27"/>
      <c r="AI87" s="27">
        <f>+'[5]ENERO 2016'!$O$854</f>
        <v>15184000</v>
      </c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9">
        <f t="shared" si="84"/>
        <v>0</v>
      </c>
      <c r="AZ87" s="27">
        <f t="shared" si="70"/>
        <v>0</v>
      </c>
      <c r="BA87" s="27">
        <f t="shared" si="71"/>
        <v>0</v>
      </c>
      <c r="BB87" s="27">
        <f t="shared" si="72"/>
        <v>0</v>
      </c>
      <c r="BC87" s="27">
        <f t="shared" si="72"/>
        <v>0</v>
      </c>
      <c r="BD87" s="27">
        <f t="shared" si="72"/>
        <v>0</v>
      </c>
      <c r="BE87" s="27">
        <f t="shared" ref="BE87:BP90" si="97">+L87-AI87</f>
        <v>0</v>
      </c>
      <c r="BF87" s="27">
        <f t="shared" si="97"/>
        <v>0</v>
      </c>
      <c r="BG87" s="27">
        <f t="shared" si="97"/>
        <v>0</v>
      </c>
      <c r="BH87" s="61">
        <f t="shared" si="97"/>
        <v>0</v>
      </c>
      <c r="BI87" s="27">
        <f t="shared" si="97"/>
        <v>0</v>
      </c>
      <c r="BJ87" s="27">
        <f t="shared" si="97"/>
        <v>0</v>
      </c>
      <c r="BK87" s="27">
        <f t="shared" si="97"/>
        <v>0</v>
      </c>
      <c r="BL87" s="27">
        <f t="shared" si="97"/>
        <v>0</v>
      </c>
      <c r="BM87" s="27">
        <f t="shared" si="97"/>
        <v>0</v>
      </c>
      <c r="BN87" s="27">
        <f t="shared" si="97"/>
        <v>0</v>
      </c>
      <c r="BO87" s="27">
        <f t="shared" si="97"/>
        <v>0</v>
      </c>
      <c r="BP87" s="27">
        <f t="shared" si="97"/>
        <v>0</v>
      </c>
      <c r="BQ87" s="27"/>
      <c r="BR87" s="27"/>
      <c r="BS87" s="27">
        <f t="shared" si="74"/>
        <v>0</v>
      </c>
      <c r="BT87" s="27">
        <f t="shared" si="88"/>
        <v>0</v>
      </c>
      <c r="BU87" s="29">
        <f t="shared" si="85"/>
        <v>0.55657448630136985</v>
      </c>
      <c r="BV87" s="27">
        <f t="shared" si="76"/>
        <v>8451027</v>
      </c>
      <c r="BW87" s="27"/>
      <c r="BX87" s="27"/>
      <c r="BY87" s="27"/>
      <c r="BZ87" s="27"/>
      <c r="CA87" s="27">
        <f>+'[3]MAYO 2016'!$H$1873</f>
        <v>8451027</v>
      </c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65">
        <f t="shared" si="67"/>
        <v>0.44342551369863015</v>
      </c>
      <c r="CR87" s="27">
        <f t="shared" si="77"/>
        <v>6732973</v>
      </c>
      <c r="CS87" s="27">
        <f t="shared" si="92"/>
        <v>0</v>
      </c>
      <c r="CT87" s="27">
        <f t="shared" si="92"/>
        <v>0</v>
      </c>
      <c r="CU87" s="61">
        <f t="shared" si="92"/>
        <v>0</v>
      </c>
      <c r="CV87" s="27">
        <f t="shared" si="92"/>
        <v>0</v>
      </c>
      <c r="CW87" s="27">
        <f t="shared" si="92"/>
        <v>6732973</v>
      </c>
      <c r="CX87" s="61">
        <f t="shared" si="92"/>
        <v>0</v>
      </c>
      <c r="CY87" s="27">
        <f t="shared" si="92"/>
        <v>0</v>
      </c>
      <c r="CZ87" s="61">
        <f t="shared" si="95"/>
        <v>0</v>
      </c>
      <c r="DA87" s="61">
        <f t="shared" si="95"/>
        <v>0</v>
      </c>
      <c r="DB87" s="27">
        <f t="shared" si="95"/>
        <v>0</v>
      </c>
      <c r="DC87" s="61">
        <f t="shared" si="80"/>
        <v>0</v>
      </c>
      <c r="DD87" s="27">
        <f t="shared" si="80"/>
        <v>0</v>
      </c>
      <c r="DE87" s="27">
        <f t="shared" si="80"/>
        <v>0</v>
      </c>
      <c r="DF87" s="27">
        <f t="shared" si="96"/>
        <v>0</v>
      </c>
      <c r="DG87" s="27">
        <f t="shared" si="96"/>
        <v>0</v>
      </c>
      <c r="DH87" s="27">
        <f t="shared" si="96"/>
        <v>0</v>
      </c>
      <c r="DI87" s="27"/>
      <c r="DJ87" s="27">
        <f>+Y87-CN87</f>
        <v>0</v>
      </c>
      <c r="DK87" s="61">
        <f>Z87-CO87</f>
        <v>0</v>
      </c>
      <c r="DL87" s="27">
        <f>+AA87-CP87</f>
        <v>0</v>
      </c>
    </row>
    <row r="88" spans="1:116" ht="32.25" customHeight="1" x14ac:dyDescent="0.25">
      <c r="A88" s="227"/>
      <c r="B88" s="230"/>
      <c r="C88" s="23" t="s">
        <v>247</v>
      </c>
      <c r="D88" s="24" t="s">
        <v>248</v>
      </c>
      <c r="E88" s="25">
        <v>520</v>
      </c>
      <c r="F88" s="73" t="s">
        <v>89</v>
      </c>
      <c r="G88" s="27">
        <f t="shared" si="68"/>
        <v>17000000</v>
      </c>
      <c r="H88" s="27"/>
      <c r="I88" s="39"/>
      <c r="J88" s="39"/>
      <c r="K88" s="39"/>
      <c r="L88" s="63">
        <v>16000000</v>
      </c>
      <c r="M88" s="39"/>
      <c r="N88" s="39"/>
      <c r="O88" s="39"/>
      <c r="P88" s="39"/>
      <c r="Q88" s="39"/>
      <c r="R88" s="32"/>
      <c r="S88" s="39"/>
      <c r="T88" s="63"/>
      <c r="U88" s="27"/>
      <c r="V88" s="27"/>
      <c r="W88" s="27"/>
      <c r="X88" s="27"/>
      <c r="Y88" s="27"/>
      <c r="Z88" s="27"/>
      <c r="AA88" s="27">
        <f>1000000</f>
        <v>1000000</v>
      </c>
      <c r="AB88" s="64"/>
      <c r="AC88" s="29">
        <f t="shared" si="83"/>
        <v>0</v>
      </c>
      <c r="AD88" s="27">
        <f t="shared" si="69"/>
        <v>0</v>
      </c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9">
        <f t="shared" si="84"/>
        <v>1</v>
      </c>
      <c r="AZ88" s="27">
        <f t="shared" si="70"/>
        <v>17000000</v>
      </c>
      <c r="BA88" s="27">
        <f t="shared" si="71"/>
        <v>0</v>
      </c>
      <c r="BB88" s="27">
        <f t="shared" si="72"/>
        <v>0</v>
      </c>
      <c r="BC88" s="27">
        <f t="shared" si="72"/>
        <v>0</v>
      </c>
      <c r="BD88" s="27">
        <f t="shared" si="72"/>
        <v>0</v>
      </c>
      <c r="BE88" s="27">
        <f t="shared" si="97"/>
        <v>16000000</v>
      </c>
      <c r="BF88" s="27">
        <f t="shared" si="97"/>
        <v>0</v>
      </c>
      <c r="BG88" s="27">
        <f t="shared" si="97"/>
        <v>0</v>
      </c>
      <c r="BH88" s="61">
        <f t="shared" si="97"/>
        <v>0</v>
      </c>
      <c r="BI88" s="27">
        <f t="shared" si="97"/>
        <v>0</v>
      </c>
      <c r="BJ88" s="27">
        <f t="shared" si="97"/>
        <v>0</v>
      </c>
      <c r="BK88" s="27">
        <f t="shared" si="97"/>
        <v>0</v>
      </c>
      <c r="BL88" s="27">
        <f t="shared" si="97"/>
        <v>0</v>
      </c>
      <c r="BM88" s="27">
        <f t="shared" si="97"/>
        <v>0</v>
      </c>
      <c r="BN88" s="27">
        <f t="shared" si="97"/>
        <v>0</v>
      </c>
      <c r="BO88" s="27">
        <f t="shared" si="97"/>
        <v>0</v>
      </c>
      <c r="BP88" s="27">
        <f t="shared" si="97"/>
        <v>0</v>
      </c>
      <c r="BQ88" s="27"/>
      <c r="BR88" s="27"/>
      <c r="BS88" s="27">
        <f t="shared" si="74"/>
        <v>0</v>
      </c>
      <c r="BT88" s="27">
        <f t="shared" si="88"/>
        <v>1000000</v>
      </c>
      <c r="BU88" s="29">
        <f t="shared" si="85"/>
        <v>0</v>
      </c>
      <c r="BV88" s="27">
        <f t="shared" si="76"/>
        <v>0</v>
      </c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65">
        <f t="shared" si="67"/>
        <v>1</v>
      </c>
      <c r="CR88" s="27">
        <f t="shared" si="77"/>
        <v>17000000</v>
      </c>
      <c r="CS88" s="27">
        <f t="shared" si="92"/>
        <v>0</v>
      </c>
      <c r="CT88" s="27">
        <f t="shared" si="92"/>
        <v>0</v>
      </c>
      <c r="CU88" s="61">
        <f t="shared" si="92"/>
        <v>0</v>
      </c>
      <c r="CV88" s="27">
        <f t="shared" si="92"/>
        <v>0</v>
      </c>
      <c r="CW88" s="27">
        <f t="shared" si="92"/>
        <v>16000000</v>
      </c>
      <c r="CX88" s="61">
        <f t="shared" si="92"/>
        <v>0</v>
      </c>
      <c r="CY88" s="27">
        <f t="shared" si="92"/>
        <v>0</v>
      </c>
      <c r="CZ88" s="61">
        <f t="shared" si="95"/>
        <v>0</v>
      </c>
      <c r="DA88" s="61">
        <f t="shared" si="95"/>
        <v>0</v>
      </c>
      <c r="DB88" s="27">
        <f t="shared" si="95"/>
        <v>0</v>
      </c>
      <c r="DC88" s="61">
        <f t="shared" si="80"/>
        <v>0</v>
      </c>
      <c r="DD88" s="27">
        <f t="shared" si="80"/>
        <v>0</v>
      </c>
      <c r="DE88" s="27">
        <f t="shared" si="80"/>
        <v>0</v>
      </c>
      <c r="DF88" s="27">
        <f t="shared" si="96"/>
        <v>0</v>
      </c>
      <c r="DG88" s="27">
        <f t="shared" si="96"/>
        <v>0</v>
      </c>
      <c r="DH88" s="27">
        <f t="shared" si="96"/>
        <v>0</v>
      </c>
      <c r="DI88" s="27"/>
      <c r="DJ88" s="27">
        <f>+Y88-CN88</f>
        <v>0</v>
      </c>
      <c r="DK88" s="61">
        <f>Z88-CO88</f>
        <v>0</v>
      </c>
      <c r="DL88" s="27">
        <f>+AA88-CP88</f>
        <v>1000000</v>
      </c>
    </row>
    <row r="89" spans="1:116" ht="24" customHeight="1" x14ac:dyDescent="0.25">
      <c r="A89" s="227"/>
      <c r="B89" s="230"/>
      <c r="C89" s="75" t="s">
        <v>249</v>
      </c>
      <c r="D89" s="24" t="s">
        <v>250</v>
      </c>
      <c r="E89" s="25">
        <v>520</v>
      </c>
      <c r="F89" s="73" t="s">
        <v>89</v>
      </c>
      <c r="G89" s="27">
        <f t="shared" si="68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29">
        <f t="shared" si="83"/>
        <v>1</v>
      </c>
      <c r="AD89" s="27">
        <f t="shared" si="69"/>
        <v>300709200</v>
      </c>
      <c r="AE89" s="76"/>
      <c r="AF89" s="76"/>
      <c r="AG89" s="76"/>
      <c r="AH89" s="76"/>
      <c r="AI89" s="76">
        <f>+'[5]ENERO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+'[5]ENERO 2016'!$W$864</f>
        <v>265000000</v>
      </c>
      <c r="AR89" s="76"/>
      <c r="AS89" s="76"/>
      <c r="AT89" s="76"/>
      <c r="AU89" s="76"/>
      <c r="AV89" s="76"/>
      <c r="AW89" s="76"/>
      <c r="AX89" s="76"/>
      <c r="AY89" s="29">
        <f t="shared" si="84"/>
        <v>0</v>
      </c>
      <c r="AZ89" s="27">
        <f t="shared" si="70"/>
        <v>0</v>
      </c>
      <c r="BA89" s="27">
        <f t="shared" si="71"/>
        <v>0</v>
      </c>
      <c r="BB89" s="27">
        <f t="shared" si="72"/>
        <v>0</v>
      </c>
      <c r="BC89" s="27">
        <f t="shared" si="72"/>
        <v>0</v>
      </c>
      <c r="BD89" s="27">
        <f t="shared" si="72"/>
        <v>0</v>
      </c>
      <c r="BE89" s="27">
        <f t="shared" si="97"/>
        <v>0</v>
      </c>
      <c r="BF89" s="27">
        <f t="shared" si="97"/>
        <v>0</v>
      </c>
      <c r="BG89" s="27">
        <f t="shared" si="97"/>
        <v>0</v>
      </c>
      <c r="BH89" s="61">
        <f t="shared" si="97"/>
        <v>0</v>
      </c>
      <c r="BI89" s="27">
        <f t="shared" si="97"/>
        <v>0</v>
      </c>
      <c r="BJ89" s="27">
        <f t="shared" si="97"/>
        <v>0</v>
      </c>
      <c r="BK89" s="27">
        <f t="shared" si="97"/>
        <v>0</v>
      </c>
      <c r="BL89" s="27">
        <f t="shared" si="97"/>
        <v>0</v>
      </c>
      <c r="BM89" s="27">
        <f t="shared" si="97"/>
        <v>0</v>
      </c>
      <c r="BN89" s="27">
        <f t="shared" si="97"/>
        <v>0</v>
      </c>
      <c r="BO89" s="27">
        <f t="shared" si="97"/>
        <v>0</v>
      </c>
      <c r="BP89" s="27">
        <f t="shared" si="97"/>
        <v>0</v>
      </c>
      <c r="BQ89" s="27"/>
      <c r="BR89" s="27">
        <f>+Y89-AV89</f>
        <v>0</v>
      </c>
      <c r="BS89" s="27">
        <f t="shared" si="74"/>
        <v>0</v>
      </c>
      <c r="BT89" s="27">
        <f t="shared" si="88"/>
        <v>0</v>
      </c>
      <c r="BU89" s="29">
        <f t="shared" si="85"/>
        <v>0.81766598095435727</v>
      </c>
      <c r="BV89" s="27">
        <f t="shared" si="76"/>
        <v>245879683</v>
      </c>
      <c r="BW89" s="76"/>
      <c r="BX89" s="76"/>
      <c r="BY89" s="76"/>
      <c r="BZ89" s="76"/>
      <c r="CA89" s="76">
        <f>+'[3]MAYO 2016'!$H$1889</f>
        <v>33050686</v>
      </c>
      <c r="CB89" s="76"/>
      <c r="CC89" s="76"/>
      <c r="CD89" s="76"/>
      <c r="CE89" s="76"/>
      <c r="CF89" s="76"/>
      <c r="CG89" s="76"/>
      <c r="CH89" s="76"/>
      <c r="CI89" s="76">
        <f>+'[1]JUNIO 2016'!$H$2154-'[1]JUNIO 2016'!$H$2157</f>
        <v>212828997</v>
      </c>
      <c r="CJ89" s="76"/>
      <c r="CK89" s="76"/>
      <c r="CL89" s="76"/>
      <c r="CM89" s="76"/>
      <c r="CN89" s="76"/>
      <c r="CO89" s="76"/>
      <c r="CP89" s="76"/>
      <c r="CQ89" s="65">
        <f t="shared" si="67"/>
        <v>0.18233401904564273</v>
      </c>
      <c r="CR89" s="27">
        <f t="shared" si="77"/>
        <v>54829517</v>
      </c>
      <c r="CS89" s="27">
        <f t="shared" si="92"/>
        <v>0</v>
      </c>
      <c r="CT89" s="27">
        <f t="shared" si="92"/>
        <v>0</v>
      </c>
      <c r="CU89" s="61">
        <f t="shared" si="92"/>
        <v>0</v>
      </c>
      <c r="CV89" s="27">
        <f t="shared" si="92"/>
        <v>0</v>
      </c>
      <c r="CW89" s="27">
        <f t="shared" si="92"/>
        <v>2658514</v>
      </c>
      <c r="CX89" s="61">
        <f t="shared" si="92"/>
        <v>0</v>
      </c>
      <c r="CY89" s="27">
        <f t="shared" si="92"/>
        <v>0</v>
      </c>
      <c r="CZ89" s="61">
        <f t="shared" si="95"/>
        <v>0</v>
      </c>
      <c r="DA89" s="61">
        <f t="shared" si="95"/>
        <v>0</v>
      </c>
      <c r="DB89" s="27">
        <f t="shared" si="95"/>
        <v>0</v>
      </c>
      <c r="DC89" s="61">
        <f t="shared" si="80"/>
        <v>0</v>
      </c>
      <c r="DD89" s="61">
        <f t="shared" si="80"/>
        <v>0</v>
      </c>
      <c r="DE89" s="61">
        <f t="shared" si="80"/>
        <v>52171003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</row>
    <row r="90" spans="1:116" ht="23.25" customHeight="1" x14ac:dyDescent="0.25">
      <c r="A90" s="228"/>
      <c r="B90" s="231"/>
      <c r="C90" s="23" t="s">
        <v>251</v>
      </c>
      <c r="D90" s="24" t="s">
        <v>252</v>
      </c>
      <c r="E90" s="25">
        <v>520</v>
      </c>
      <c r="F90" s="26" t="s">
        <v>253</v>
      </c>
      <c r="G90" s="27">
        <f t="shared" si="68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29">
        <f t="shared" si="83"/>
        <v>2.6265950789760177E-2</v>
      </c>
      <c r="AD90" s="27">
        <f t="shared" si="69"/>
        <v>830000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>
        <f>+'[3]MAYO 2016'!$AG$1923</f>
        <v>830000</v>
      </c>
      <c r="AY90" s="29">
        <f t="shared" si="84"/>
        <v>0.97373404921023987</v>
      </c>
      <c r="AZ90" s="27">
        <f t="shared" si="70"/>
        <v>30769846</v>
      </c>
      <c r="BA90" s="27">
        <f t="shared" si="71"/>
        <v>0</v>
      </c>
      <c r="BB90" s="27">
        <f t="shared" si="72"/>
        <v>0</v>
      </c>
      <c r="BC90" s="27">
        <f t="shared" si="72"/>
        <v>0</v>
      </c>
      <c r="BD90" s="27">
        <f t="shared" si="72"/>
        <v>0</v>
      </c>
      <c r="BE90" s="27">
        <f t="shared" si="97"/>
        <v>0</v>
      </c>
      <c r="BF90" s="27">
        <f t="shared" si="97"/>
        <v>0</v>
      </c>
      <c r="BG90" s="27">
        <f t="shared" si="97"/>
        <v>0</v>
      </c>
      <c r="BH90" s="61">
        <f t="shared" si="97"/>
        <v>0</v>
      </c>
      <c r="BI90" s="27">
        <f t="shared" si="97"/>
        <v>0</v>
      </c>
      <c r="BJ90" s="27">
        <f t="shared" si="97"/>
        <v>0</v>
      </c>
      <c r="BK90" s="27">
        <f t="shared" si="97"/>
        <v>0</v>
      </c>
      <c r="BL90" s="27">
        <f t="shared" si="97"/>
        <v>0</v>
      </c>
      <c r="BM90" s="27">
        <f t="shared" si="97"/>
        <v>0</v>
      </c>
      <c r="BN90" s="27">
        <f t="shared" si="97"/>
        <v>0</v>
      </c>
      <c r="BO90" s="27">
        <f t="shared" si="97"/>
        <v>0</v>
      </c>
      <c r="BP90" s="27">
        <f t="shared" si="97"/>
        <v>0</v>
      </c>
      <c r="BQ90" s="27"/>
      <c r="BR90" s="27">
        <f>+Y90-AV90</f>
        <v>0</v>
      </c>
      <c r="BS90" s="27">
        <f t="shared" si="74"/>
        <v>0</v>
      </c>
      <c r="BT90" s="27">
        <f t="shared" si="88"/>
        <v>30769846</v>
      </c>
      <c r="BU90" s="29">
        <f t="shared" si="85"/>
        <v>2.6265950789760177E-2</v>
      </c>
      <c r="BV90" s="27">
        <f t="shared" si="76"/>
        <v>830000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>
        <f>+'[3]MAYO 2016'!$H$1921</f>
        <v>830000</v>
      </c>
      <c r="CQ90" s="65">
        <f t="shared" si="67"/>
        <v>0.97373404921023987</v>
      </c>
      <c r="CR90" s="27">
        <f t="shared" si="77"/>
        <v>30769846</v>
      </c>
      <c r="CS90" s="27">
        <f t="shared" si="92"/>
        <v>0</v>
      </c>
      <c r="CT90" s="27">
        <f t="shared" si="92"/>
        <v>0</v>
      </c>
      <c r="CU90" s="61">
        <f t="shared" si="92"/>
        <v>0</v>
      </c>
      <c r="CV90" s="27">
        <f t="shared" si="92"/>
        <v>0</v>
      </c>
      <c r="CW90" s="27">
        <f t="shared" si="92"/>
        <v>0</v>
      </c>
      <c r="CX90" s="61">
        <f t="shared" si="92"/>
        <v>0</v>
      </c>
      <c r="CY90" s="27">
        <f t="shared" si="92"/>
        <v>0</v>
      </c>
      <c r="CZ90" s="61">
        <f t="shared" si="95"/>
        <v>0</v>
      </c>
      <c r="DA90" s="61">
        <f t="shared" si="95"/>
        <v>0</v>
      </c>
      <c r="DB90" s="27">
        <f t="shared" si="95"/>
        <v>0</v>
      </c>
      <c r="DC90" s="27">
        <f t="shared" si="95"/>
        <v>0</v>
      </c>
      <c r="DD90" s="27">
        <f t="shared" si="95"/>
        <v>0</v>
      </c>
      <c r="DE90" s="27">
        <f t="shared" si="95"/>
        <v>0</v>
      </c>
      <c r="DF90" s="27">
        <f t="shared" si="95"/>
        <v>0</v>
      </c>
      <c r="DG90" s="27">
        <f t="shared" si="95"/>
        <v>0</v>
      </c>
      <c r="DH90" s="27">
        <f t="shared" si="95"/>
        <v>0</v>
      </c>
      <c r="DI90" s="27"/>
      <c r="DJ90" s="27">
        <f>+Y90-CN90</f>
        <v>0</v>
      </c>
      <c r="DK90" s="27">
        <f>+Z90-CO90</f>
        <v>0</v>
      </c>
      <c r="DL90" s="27">
        <f>+AA90-CP90</f>
        <v>30769846</v>
      </c>
    </row>
    <row r="91" spans="1:116" s="50" customFormat="1" ht="18.75" customHeight="1" thickBot="1" x14ac:dyDescent="0.3">
      <c r="A91" s="79"/>
      <c r="B91" s="243" t="s">
        <v>254</v>
      </c>
      <c r="C91" s="244"/>
      <c r="D91" s="244"/>
      <c r="E91" s="244"/>
      <c r="F91" s="245"/>
      <c r="G91" s="68">
        <f>SUM(G59:G90)</f>
        <v>1600540286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98">SUM(M59:M88)</f>
        <v>50000000</v>
      </c>
      <c r="N91" s="68">
        <f t="shared" si="98"/>
        <v>0</v>
      </c>
      <c r="O91" s="68">
        <f t="shared" si="98"/>
        <v>0</v>
      </c>
      <c r="P91" s="68">
        <f t="shared" si="98"/>
        <v>0</v>
      </c>
      <c r="Q91" s="68">
        <f t="shared" si="98"/>
        <v>0</v>
      </c>
      <c r="R91" s="68">
        <f t="shared" si="98"/>
        <v>0</v>
      </c>
      <c r="S91" s="68">
        <f>SUM(S59:S90)</f>
        <v>200000000</v>
      </c>
      <c r="T91" s="68">
        <f>SUM(T59:T90)</f>
        <v>333901442</v>
      </c>
      <c r="U91" s="68">
        <f t="shared" ref="U91:Z91" si="99">SUM(U59:U88)</f>
        <v>0</v>
      </c>
      <c r="V91" s="68">
        <f t="shared" si="99"/>
        <v>0</v>
      </c>
      <c r="W91" s="68">
        <f t="shared" si="99"/>
        <v>0</v>
      </c>
      <c r="X91" s="68">
        <f t="shared" si="99"/>
        <v>0</v>
      </c>
      <c r="Y91" s="68">
        <f t="shared" si="99"/>
        <v>0</v>
      </c>
      <c r="Z91" s="68">
        <f t="shared" si="99"/>
        <v>0</v>
      </c>
      <c r="AA91" s="68">
        <f>SUM(AA59:AA90)</f>
        <v>496638844</v>
      </c>
      <c r="AC91" s="46">
        <f t="shared" si="83"/>
        <v>0.73839405626807197</v>
      </c>
      <c r="AD91" s="68">
        <f>SUM(AD59:AD90)</f>
        <v>1181829434</v>
      </c>
      <c r="AE91" s="68"/>
      <c r="AF91" s="68">
        <f t="shared" ref="AF91:AX91" si="100">SUM(AF59:AF90)</f>
        <v>0</v>
      </c>
      <c r="AG91" s="68">
        <f t="shared" si="100"/>
        <v>0</v>
      </c>
      <c r="AH91" s="68">
        <f t="shared" si="100"/>
        <v>0</v>
      </c>
      <c r="AI91" s="68">
        <f t="shared" si="100"/>
        <v>282138473</v>
      </c>
      <c r="AJ91" s="68">
        <f t="shared" si="100"/>
        <v>24212635</v>
      </c>
      <c r="AK91" s="68">
        <f t="shared" si="100"/>
        <v>0</v>
      </c>
      <c r="AL91" s="68">
        <f t="shared" si="100"/>
        <v>0</v>
      </c>
      <c r="AM91" s="68">
        <f t="shared" si="100"/>
        <v>0</v>
      </c>
      <c r="AN91" s="68">
        <f t="shared" si="100"/>
        <v>0</v>
      </c>
      <c r="AO91" s="68">
        <f t="shared" si="100"/>
        <v>0</v>
      </c>
      <c r="AP91" s="68">
        <f t="shared" si="100"/>
        <v>196388655</v>
      </c>
      <c r="AQ91" s="68">
        <f t="shared" si="100"/>
        <v>286026149</v>
      </c>
      <c r="AR91" s="68">
        <f t="shared" si="100"/>
        <v>0</v>
      </c>
      <c r="AS91" s="68">
        <f t="shared" si="100"/>
        <v>0</v>
      </c>
      <c r="AT91" s="68">
        <f t="shared" si="100"/>
        <v>0</v>
      </c>
      <c r="AU91" s="68">
        <f t="shared" si="100"/>
        <v>0</v>
      </c>
      <c r="AV91" s="68">
        <f t="shared" si="100"/>
        <v>0</v>
      </c>
      <c r="AW91" s="68">
        <f t="shared" si="100"/>
        <v>0</v>
      </c>
      <c r="AX91" s="68">
        <f t="shared" si="100"/>
        <v>393063522</v>
      </c>
      <c r="AY91" s="46">
        <f t="shared" si="84"/>
        <v>0.26160594373192803</v>
      </c>
      <c r="AZ91" s="68">
        <f>SUM(AZ59:AZ90)</f>
        <v>418710852</v>
      </c>
      <c r="BA91" s="68"/>
      <c r="BB91" s="68">
        <f t="shared" ref="BB91:BT91" si="101">SUM(BB59:BB90)</f>
        <v>0</v>
      </c>
      <c r="BC91" s="68">
        <f t="shared" si="101"/>
        <v>0</v>
      </c>
      <c r="BD91" s="68">
        <f t="shared" si="101"/>
        <v>0</v>
      </c>
      <c r="BE91" s="68">
        <f t="shared" si="101"/>
        <v>237861527</v>
      </c>
      <c r="BF91" s="68">
        <f t="shared" si="101"/>
        <v>25787365</v>
      </c>
      <c r="BG91" s="68">
        <f t="shared" si="101"/>
        <v>0</v>
      </c>
      <c r="BH91" s="68">
        <f t="shared" si="101"/>
        <v>0</v>
      </c>
      <c r="BI91" s="68">
        <f t="shared" si="101"/>
        <v>0</v>
      </c>
      <c r="BJ91" s="68">
        <f t="shared" si="101"/>
        <v>0</v>
      </c>
      <c r="BK91" s="68">
        <f t="shared" si="101"/>
        <v>0</v>
      </c>
      <c r="BL91" s="68">
        <f t="shared" si="101"/>
        <v>3611345</v>
      </c>
      <c r="BM91" s="68">
        <f t="shared" si="101"/>
        <v>47875293</v>
      </c>
      <c r="BN91" s="68">
        <f t="shared" si="101"/>
        <v>0</v>
      </c>
      <c r="BO91" s="68">
        <f t="shared" si="101"/>
        <v>0</v>
      </c>
      <c r="BP91" s="68">
        <f t="shared" si="101"/>
        <v>0</v>
      </c>
      <c r="BQ91" s="68">
        <f t="shared" si="101"/>
        <v>0</v>
      </c>
      <c r="BR91" s="68">
        <f t="shared" si="101"/>
        <v>0</v>
      </c>
      <c r="BS91" s="68">
        <f t="shared" si="101"/>
        <v>0</v>
      </c>
      <c r="BT91" s="68">
        <f t="shared" si="101"/>
        <v>103575322</v>
      </c>
      <c r="BU91" s="46">
        <f t="shared" si="85"/>
        <v>0.5763361916402272</v>
      </c>
      <c r="BV91" s="68">
        <f t="shared" ref="BV91:CL91" si="102">SUM(BV59:BV90)</f>
        <v>922449293</v>
      </c>
      <c r="BW91" s="68">
        <f t="shared" si="102"/>
        <v>0</v>
      </c>
      <c r="BX91" s="68">
        <f t="shared" si="102"/>
        <v>0</v>
      </c>
      <c r="BY91" s="68">
        <f t="shared" si="102"/>
        <v>0</v>
      </c>
      <c r="BZ91" s="68">
        <f t="shared" si="102"/>
        <v>0</v>
      </c>
      <c r="CA91" s="68">
        <f t="shared" si="102"/>
        <v>222563715</v>
      </c>
      <c r="CB91" s="68">
        <f t="shared" si="102"/>
        <v>24212635</v>
      </c>
      <c r="CC91" s="68">
        <f t="shared" si="102"/>
        <v>0</v>
      </c>
      <c r="CD91" s="68">
        <f t="shared" si="102"/>
        <v>0</v>
      </c>
      <c r="CE91" s="68">
        <f t="shared" si="102"/>
        <v>0</v>
      </c>
      <c r="CF91" s="68">
        <f t="shared" si="102"/>
        <v>0</v>
      </c>
      <c r="CG91" s="68">
        <f t="shared" si="102"/>
        <v>0</v>
      </c>
      <c r="CH91" s="68">
        <f t="shared" si="102"/>
        <v>162882922</v>
      </c>
      <c r="CI91" s="68">
        <f t="shared" si="102"/>
        <v>232521071</v>
      </c>
      <c r="CJ91" s="68">
        <f t="shared" si="102"/>
        <v>0</v>
      </c>
      <c r="CK91" s="68">
        <f t="shared" si="102"/>
        <v>0</v>
      </c>
      <c r="CL91" s="68">
        <f t="shared" si="102"/>
        <v>0</v>
      </c>
      <c r="CM91" s="68"/>
      <c r="CN91" s="68">
        <f>SUM(CN59:CN90)</f>
        <v>0</v>
      </c>
      <c r="CO91" s="68">
        <f>SUM(CO59:CO90)</f>
        <v>0</v>
      </c>
      <c r="CP91" s="68">
        <f>SUM(CP59:CP90)</f>
        <v>280268950</v>
      </c>
      <c r="CQ91" s="46">
        <f t="shared" si="67"/>
        <v>0.4236638083597728</v>
      </c>
      <c r="CR91" s="68">
        <f t="shared" ref="CR91:DL91" si="103">SUM(CR59:CR90)</f>
        <v>678090993</v>
      </c>
      <c r="CS91" s="68">
        <f t="shared" si="103"/>
        <v>0</v>
      </c>
      <c r="CT91" s="68">
        <f t="shared" si="103"/>
        <v>0</v>
      </c>
      <c r="CU91" s="68">
        <f t="shared" si="103"/>
        <v>0</v>
      </c>
      <c r="CV91" s="68">
        <f t="shared" si="103"/>
        <v>0</v>
      </c>
      <c r="CW91" s="68">
        <f t="shared" si="103"/>
        <v>297436285</v>
      </c>
      <c r="CX91" s="68">
        <f t="shared" si="103"/>
        <v>25787365</v>
      </c>
      <c r="CY91" s="68">
        <f t="shared" si="103"/>
        <v>0</v>
      </c>
      <c r="CZ91" s="68">
        <f t="shared" si="103"/>
        <v>0</v>
      </c>
      <c r="DA91" s="68">
        <f t="shared" si="103"/>
        <v>0</v>
      </c>
      <c r="DB91" s="68">
        <f t="shared" si="103"/>
        <v>0</v>
      </c>
      <c r="DC91" s="68">
        <f t="shared" si="103"/>
        <v>0</v>
      </c>
      <c r="DD91" s="68">
        <f t="shared" si="103"/>
        <v>37117078</v>
      </c>
      <c r="DE91" s="68">
        <f t="shared" si="103"/>
        <v>101380371</v>
      </c>
      <c r="DF91" s="68">
        <f t="shared" si="103"/>
        <v>0</v>
      </c>
      <c r="DG91" s="68">
        <f t="shared" si="103"/>
        <v>0</v>
      </c>
      <c r="DH91" s="68">
        <f t="shared" si="103"/>
        <v>0</v>
      </c>
      <c r="DI91" s="68">
        <f t="shared" si="103"/>
        <v>0</v>
      </c>
      <c r="DJ91" s="68">
        <f t="shared" si="103"/>
        <v>0</v>
      </c>
      <c r="DK91" s="68">
        <f t="shared" si="103"/>
        <v>0</v>
      </c>
      <c r="DL91" s="68">
        <f t="shared" si="103"/>
        <v>216369894</v>
      </c>
    </row>
    <row r="92" spans="1:116" ht="6" customHeight="1" thickTop="1" x14ac:dyDescent="0.25">
      <c r="B92" s="80"/>
      <c r="C92" s="81"/>
      <c r="D92" s="82"/>
      <c r="E92" s="83"/>
      <c r="F92" s="84"/>
      <c r="G92" s="85"/>
      <c r="H92" s="85"/>
      <c r="I92" s="85"/>
      <c r="J92" s="85"/>
      <c r="K92" s="85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7"/>
      <c r="AC92" s="88"/>
      <c r="AD92" s="89"/>
      <c r="AE92" s="89"/>
      <c r="AF92" s="89"/>
      <c r="AG92" s="89"/>
      <c r="AH92" s="89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1"/>
      <c r="AZ92" s="89"/>
      <c r="BA92" s="89"/>
      <c r="BB92" s="89"/>
      <c r="BC92" s="89"/>
      <c r="BD92" s="89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1"/>
      <c r="BV92" s="89"/>
      <c r="BW92" s="89"/>
      <c r="BX92" s="89"/>
      <c r="BY92" s="89"/>
      <c r="BZ92" s="89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1"/>
      <c r="CR92" s="89"/>
      <c r="CS92" s="89"/>
      <c r="CT92" s="89"/>
      <c r="CU92" s="89"/>
      <c r="CV92" s="89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</row>
    <row r="93" spans="1:116" s="50" customFormat="1" ht="18" customHeight="1" x14ac:dyDescent="0.25">
      <c r="A93" s="246" t="s">
        <v>255</v>
      </c>
      <c r="B93" s="229" t="s">
        <v>256</v>
      </c>
      <c r="C93" s="75" t="s">
        <v>257</v>
      </c>
      <c r="D93" s="24" t="s">
        <v>258</v>
      </c>
      <c r="E93" s="25">
        <v>301</v>
      </c>
      <c r="F93" s="26" t="s">
        <v>259</v>
      </c>
      <c r="G93" s="27">
        <f t="shared" ref="G93:G107" si="104">SUM(H93:AA93)</f>
        <v>85000000</v>
      </c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>
        <v>85000000</v>
      </c>
      <c r="X93" s="27"/>
      <c r="Y93" s="27"/>
      <c r="Z93" s="27"/>
      <c r="AA93" s="27"/>
      <c r="AC93" s="29">
        <f t="shared" ref="AC93:AC128" si="105">+AD93/G93</f>
        <v>0.33628235294117648</v>
      </c>
      <c r="AD93" s="27">
        <f t="shared" ref="AD93:AD107" si="106">SUM(AE93:AX93)</f>
        <v>28584000</v>
      </c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>
        <f>+'[1]JUNIO 2016'!$Z$449</f>
        <v>28584000</v>
      </c>
      <c r="AU93" s="27"/>
      <c r="AV93" s="27"/>
      <c r="AW93" s="27"/>
      <c r="AX93" s="27"/>
      <c r="AY93" s="29">
        <f t="shared" ref="AY93:AY128" si="107">1-AC93</f>
        <v>0.66371764705882352</v>
      </c>
      <c r="AZ93" s="27">
        <f t="shared" ref="AZ93:AZ107" si="108">SUM(BA93:BT93)</f>
        <v>56416000</v>
      </c>
      <c r="BA93" s="27">
        <f t="shared" ref="BA93:BA107" si="109">+H93</f>
        <v>0</v>
      </c>
      <c r="BB93" s="27">
        <f t="shared" ref="BB93:BP107" si="110">I93-AF93</f>
        <v>0</v>
      </c>
      <c r="BC93" s="27">
        <f t="shared" si="110"/>
        <v>0</v>
      </c>
      <c r="BD93" s="27">
        <f t="shared" si="110"/>
        <v>0</v>
      </c>
      <c r="BE93" s="27">
        <f t="shared" ref="BE93:BP99" si="111">+L93-AI93</f>
        <v>0</v>
      </c>
      <c r="BF93" s="27">
        <f t="shared" si="111"/>
        <v>0</v>
      </c>
      <c r="BG93" s="27">
        <f t="shared" si="111"/>
        <v>0</v>
      </c>
      <c r="BH93" s="27">
        <f t="shared" si="111"/>
        <v>0</v>
      </c>
      <c r="BI93" s="27">
        <f t="shared" si="111"/>
        <v>0</v>
      </c>
      <c r="BJ93" s="27">
        <f t="shared" si="111"/>
        <v>0</v>
      </c>
      <c r="BK93" s="27">
        <f t="shared" si="111"/>
        <v>0</v>
      </c>
      <c r="BL93" s="27">
        <f t="shared" si="111"/>
        <v>0</v>
      </c>
      <c r="BM93" s="27">
        <f t="shared" si="111"/>
        <v>0</v>
      </c>
      <c r="BN93" s="27">
        <f t="shared" si="111"/>
        <v>0</v>
      </c>
      <c r="BO93" s="27">
        <f t="shared" si="111"/>
        <v>0</v>
      </c>
      <c r="BP93" s="27">
        <f t="shared" si="111"/>
        <v>56416000</v>
      </c>
      <c r="BQ93" s="27"/>
      <c r="BR93" s="27"/>
      <c r="BS93" s="27">
        <f t="shared" ref="BS93:BS107" si="112">Z93-AW93</f>
        <v>0</v>
      </c>
      <c r="BT93" s="27">
        <f t="shared" ref="BT93:BT99" si="113">+AA93-AX93</f>
        <v>0</v>
      </c>
      <c r="BU93" s="29">
        <f t="shared" ref="BU93:BU128" si="114">+BV93/G93</f>
        <v>0.24247237647058822</v>
      </c>
      <c r="BV93" s="27">
        <f t="shared" ref="BV93:BV107" si="115">SUM(BW93:CP93)</f>
        <v>20610152</v>
      </c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>
        <f>+'[1]JUNIO 2016'!$H$447</f>
        <v>20610152</v>
      </c>
      <c r="CM93" s="27"/>
      <c r="CN93" s="27"/>
      <c r="CO93" s="27"/>
      <c r="CP93" s="27"/>
      <c r="CQ93" s="29">
        <f t="shared" ref="CQ93:CQ128" si="116">1-BU93</f>
        <v>0.75752762352941172</v>
      </c>
      <c r="CR93" s="27">
        <f t="shared" ref="CR93:CR107" si="117">SUM(CS93:DL93)</f>
        <v>64389848</v>
      </c>
      <c r="CS93" s="27">
        <f t="shared" ref="CS93:DB107" si="118">H93-BW93</f>
        <v>0</v>
      </c>
      <c r="CT93" s="27">
        <f t="shared" si="118"/>
        <v>0</v>
      </c>
      <c r="CU93" s="27">
        <f t="shared" si="118"/>
        <v>0</v>
      </c>
      <c r="CV93" s="27">
        <f t="shared" si="118"/>
        <v>0</v>
      </c>
      <c r="CW93" s="27">
        <f t="shared" si="118"/>
        <v>0</v>
      </c>
      <c r="CX93" s="27">
        <f t="shared" si="118"/>
        <v>0</v>
      </c>
      <c r="CY93" s="27">
        <f t="shared" si="118"/>
        <v>0</v>
      </c>
      <c r="CZ93" s="27">
        <f t="shared" ref="CZ93:DB98" si="119">+O93-CD93</f>
        <v>0</v>
      </c>
      <c r="DA93" s="27">
        <f t="shared" si="119"/>
        <v>0</v>
      </c>
      <c r="DB93" s="27">
        <f t="shared" si="119"/>
        <v>0</v>
      </c>
      <c r="DC93" s="27">
        <f t="shared" ref="DC93:DE107" si="120">R93-CG93</f>
        <v>0</v>
      </c>
      <c r="DD93" s="27">
        <f t="shared" si="120"/>
        <v>0</v>
      </c>
      <c r="DE93" s="27">
        <f t="shared" si="120"/>
        <v>0</v>
      </c>
      <c r="DF93" s="27">
        <f t="shared" ref="DF93:DH99" si="121">+U93-CJ93</f>
        <v>0</v>
      </c>
      <c r="DG93" s="27">
        <f t="shared" si="121"/>
        <v>0</v>
      </c>
      <c r="DH93" s="27">
        <f t="shared" si="121"/>
        <v>64389848</v>
      </c>
      <c r="DI93" s="27"/>
      <c r="DJ93" s="27">
        <f t="shared" ref="DJ93:DL99" si="122">+Y93-CN93</f>
        <v>0</v>
      </c>
      <c r="DK93" s="27">
        <f t="shared" si="122"/>
        <v>0</v>
      </c>
      <c r="DL93" s="27">
        <f t="shared" si="122"/>
        <v>0</v>
      </c>
    </row>
    <row r="94" spans="1:116" s="50" customFormat="1" ht="22.5" customHeight="1" x14ac:dyDescent="0.25">
      <c r="A94" s="246"/>
      <c r="B94" s="230"/>
      <c r="C94" s="75" t="s">
        <v>260</v>
      </c>
      <c r="D94" s="24" t="s">
        <v>261</v>
      </c>
      <c r="E94" s="25">
        <v>301</v>
      </c>
      <c r="F94" s="26" t="s">
        <v>259</v>
      </c>
      <c r="G94" s="27">
        <f t="shared" si="104"/>
        <v>55000000</v>
      </c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>
        <v>55000000</v>
      </c>
      <c r="X94" s="27"/>
      <c r="Y94" s="27"/>
      <c r="Z94" s="27"/>
      <c r="AA94" s="27"/>
      <c r="AC94" s="29">
        <f t="shared" si="105"/>
        <v>1</v>
      </c>
      <c r="AD94" s="27">
        <f t="shared" si="106"/>
        <v>55000000</v>
      </c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>
        <f>+'[1]JUNIO 2016'!$Z$461</f>
        <v>55000000</v>
      </c>
      <c r="AU94" s="27"/>
      <c r="AV94" s="27"/>
      <c r="AW94" s="27"/>
      <c r="AX94" s="27"/>
      <c r="AY94" s="29">
        <f t="shared" si="107"/>
        <v>0</v>
      </c>
      <c r="AZ94" s="27">
        <f t="shared" si="108"/>
        <v>0</v>
      </c>
      <c r="BA94" s="27">
        <f t="shared" si="109"/>
        <v>0</v>
      </c>
      <c r="BB94" s="27">
        <f t="shared" si="110"/>
        <v>0</v>
      </c>
      <c r="BC94" s="27">
        <f t="shared" si="110"/>
        <v>0</v>
      </c>
      <c r="BD94" s="27">
        <f t="shared" si="110"/>
        <v>0</v>
      </c>
      <c r="BE94" s="27">
        <f t="shared" si="111"/>
        <v>0</v>
      </c>
      <c r="BF94" s="27">
        <f t="shared" si="111"/>
        <v>0</v>
      </c>
      <c r="BG94" s="27">
        <f t="shared" si="111"/>
        <v>0</v>
      </c>
      <c r="BH94" s="27">
        <f t="shared" si="111"/>
        <v>0</v>
      </c>
      <c r="BI94" s="27">
        <f t="shared" si="111"/>
        <v>0</v>
      </c>
      <c r="BJ94" s="27">
        <f t="shared" si="111"/>
        <v>0</v>
      </c>
      <c r="BK94" s="27">
        <f t="shared" si="111"/>
        <v>0</v>
      </c>
      <c r="BL94" s="27">
        <f t="shared" si="111"/>
        <v>0</v>
      </c>
      <c r="BM94" s="27">
        <f t="shared" si="111"/>
        <v>0</v>
      </c>
      <c r="BN94" s="27">
        <f t="shared" si="111"/>
        <v>0</v>
      </c>
      <c r="BO94" s="27">
        <f t="shared" si="111"/>
        <v>0</v>
      </c>
      <c r="BP94" s="27">
        <f t="shared" si="111"/>
        <v>0</v>
      </c>
      <c r="BQ94" s="27"/>
      <c r="BR94" s="27"/>
      <c r="BS94" s="27">
        <f t="shared" si="112"/>
        <v>0</v>
      </c>
      <c r="BT94" s="27">
        <f t="shared" si="113"/>
        <v>0</v>
      </c>
      <c r="BU94" s="29">
        <f t="shared" si="114"/>
        <v>0.3922834</v>
      </c>
      <c r="BV94" s="27">
        <f t="shared" si="115"/>
        <v>21575587</v>
      </c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>
        <f>+'[3]MAYO 2016'!$H$383</f>
        <v>21575587</v>
      </c>
      <c r="CM94" s="27"/>
      <c r="CN94" s="27"/>
      <c r="CO94" s="27"/>
      <c r="CP94" s="27"/>
      <c r="CQ94" s="29">
        <f t="shared" si="116"/>
        <v>0.60771660000000005</v>
      </c>
      <c r="CR94" s="27">
        <f t="shared" si="117"/>
        <v>33424413</v>
      </c>
      <c r="CS94" s="27">
        <f t="shared" si="118"/>
        <v>0</v>
      </c>
      <c r="CT94" s="27">
        <f t="shared" si="118"/>
        <v>0</v>
      </c>
      <c r="CU94" s="27">
        <f t="shared" si="118"/>
        <v>0</v>
      </c>
      <c r="CV94" s="27">
        <f t="shared" si="118"/>
        <v>0</v>
      </c>
      <c r="CW94" s="27">
        <f t="shared" si="118"/>
        <v>0</v>
      </c>
      <c r="CX94" s="27">
        <f t="shared" si="118"/>
        <v>0</v>
      </c>
      <c r="CY94" s="27">
        <f t="shared" si="118"/>
        <v>0</v>
      </c>
      <c r="CZ94" s="27">
        <f t="shared" si="119"/>
        <v>0</v>
      </c>
      <c r="DA94" s="27">
        <f t="shared" si="119"/>
        <v>0</v>
      </c>
      <c r="DB94" s="27">
        <f t="shared" si="119"/>
        <v>0</v>
      </c>
      <c r="DC94" s="27">
        <f t="shared" si="120"/>
        <v>0</v>
      </c>
      <c r="DD94" s="27">
        <f t="shared" si="120"/>
        <v>0</v>
      </c>
      <c r="DE94" s="27">
        <f t="shared" si="120"/>
        <v>0</v>
      </c>
      <c r="DF94" s="27">
        <f t="shared" si="121"/>
        <v>0</v>
      </c>
      <c r="DG94" s="27">
        <f t="shared" si="121"/>
        <v>0</v>
      </c>
      <c r="DH94" s="27">
        <f t="shared" si="121"/>
        <v>33424413</v>
      </c>
      <c r="DI94" s="27"/>
      <c r="DJ94" s="27">
        <f t="shared" si="122"/>
        <v>0</v>
      </c>
      <c r="DK94" s="27">
        <f t="shared" si="122"/>
        <v>0</v>
      </c>
      <c r="DL94" s="27">
        <f t="shared" si="122"/>
        <v>0</v>
      </c>
    </row>
    <row r="95" spans="1:116" s="50" customFormat="1" x14ac:dyDescent="0.25">
      <c r="A95" s="246"/>
      <c r="B95" s="230"/>
      <c r="C95" s="75" t="s">
        <v>262</v>
      </c>
      <c r="D95" s="24" t="s">
        <v>263</v>
      </c>
      <c r="E95" s="25">
        <v>301</v>
      </c>
      <c r="F95" s="26" t="s">
        <v>259</v>
      </c>
      <c r="G95" s="27">
        <f t="shared" si="104"/>
        <v>30000000</v>
      </c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>
        <v>30000000</v>
      </c>
      <c r="X95" s="27"/>
      <c r="Y95" s="27"/>
      <c r="Z95" s="27"/>
      <c r="AA95" s="27"/>
      <c r="AC95" s="29">
        <f t="shared" si="105"/>
        <v>0.64794119999999999</v>
      </c>
      <c r="AD95" s="27">
        <f t="shared" si="106"/>
        <v>19438236</v>
      </c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>
        <f>+'[3]MAYO 2016'!$Z$398</f>
        <v>19438236</v>
      </c>
      <c r="AU95" s="27"/>
      <c r="AV95" s="27"/>
      <c r="AW95" s="27"/>
      <c r="AX95" s="27"/>
      <c r="AY95" s="29">
        <f t="shared" si="107"/>
        <v>0.35205880000000001</v>
      </c>
      <c r="AZ95" s="27">
        <f t="shared" si="108"/>
        <v>10561764</v>
      </c>
      <c r="BA95" s="27">
        <f t="shared" si="109"/>
        <v>0</v>
      </c>
      <c r="BB95" s="27">
        <f t="shared" si="110"/>
        <v>0</v>
      </c>
      <c r="BC95" s="27">
        <f t="shared" si="110"/>
        <v>0</v>
      </c>
      <c r="BD95" s="27">
        <f t="shared" si="110"/>
        <v>0</v>
      </c>
      <c r="BE95" s="27">
        <f t="shared" si="111"/>
        <v>0</v>
      </c>
      <c r="BF95" s="27">
        <f t="shared" si="111"/>
        <v>0</v>
      </c>
      <c r="BG95" s="27">
        <f t="shared" si="111"/>
        <v>0</v>
      </c>
      <c r="BH95" s="27">
        <f t="shared" si="111"/>
        <v>0</v>
      </c>
      <c r="BI95" s="27">
        <f t="shared" si="111"/>
        <v>0</v>
      </c>
      <c r="BJ95" s="27">
        <f t="shared" si="111"/>
        <v>0</v>
      </c>
      <c r="BK95" s="27">
        <f t="shared" si="111"/>
        <v>0</v>
      </c>
      <c r="BL95" s="27">
        <f t="shared" si="111"/>
        <v>0</v>
      </c>
      <c r="BM95" s="27">
        <f t="shared" si="111"/>
        <v>0</v>
      </c>
      <c r="BN95" s="27">
        <f t="shared" si="111"/>
        <v>0</v>
      </c>
      <c r="BO95" s="27">
        <f t="shared" si="111"/>
        <v>0</v>
      </c>
      <c r="BP95" s="27">
        <f t="shared" si="111"/>
        <v>10561764</v>
      </c>
      <c r="BQ95" s="27"/>
      <c r="BR95" s="27"/>
      <c r="BS95" s="27">
        <f t="shared" si="112"/>
        <v>0</v>
      </c>
      <c r="BT95" s="27">
        <f t="shared" si="113"/>
        <v>0</v>
      </c>
      <c r="BU95" s="29">
        <f t="shared" si="114"/>
        <v>0.64351369999999997</v>
      </c>
      <c r="BV95" s="27">
        <f t="shared" si="115"/>
        <v>19305411</v>
      </c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>
        <f>+'[3]MAYO 2016'!$H$396</f>
        <v>19305411</v>
      </c>
      <c r="CM95" s="27"/>
      <c r="CN95" s="27"/>
      <c r="CO95" s="27"/>
      <c r="CP95" s="27"/>
      <c r="CQ95" s="29">
        <f t="shared" si="116"/>
        <v>0.35648630000000003</v>
      </c>
      <c r="CR95" s="27">
        <f t="shared" si="117"/>
        <v>10694589</v>
      </c>
      <c r="CS95" s="27">
        <f t="shared" si="118"/>
        <v>0</v>
      </c>
      <c r="CT95" s="27">
        <f t="shared" si="118"/>
        <v>0</v>
      </c>
      <c r="CU95" s="27">
        <f t="shared" si="118"/>
        <v>0</v>
      </c>
      <c r="CV95" s="27">
        <f t="shared" si="118"/>
        <v>0</v>
      </c>
      <c r="CW95" s="27">
        <f t="shared" si="118"/>
        <v>0</v>
      </c>
      <c r="CX95" s="27">
        <f t="shared" si="118"/>
        <v>0</v>
      </c>
      <c r="CY95" s="27">
        <f t="shared" si="118"/>
        <v>0</v>
      </c>
      <c r="CZ95" s="27">
        <f t="shared" si="119"/>
        <v>0</v>
      </c>
      <c r="DA95" s="27">
        <f t="shared" si="119"/>
        <v>0</v>
      </c>
      <c r="DB95" s="27">
        <f t="shared" si="119"/>
        <v>0</v>
      </c>
      <c r="DC95" s="27">
        <f t="shared" si="120"/>
        <v>0</v>
      </c>
      <c r="DD95" s="27">
        <f t="shared" si="120"/>
        <v>0</v>
      </c>
      <c r="DE95" s="27">
        <f t="shared" si="120"/>
        <v>0</v>
      </c>
      <c r="DF95" s="27">
        <f t="shared" si="121"/>
        <v>0</v>
      </c>
      <c r="DG95" s="27">
        <f t="shared" si="121"/>
        <v>0</v>
      </c>
      <c r="DH95" s="27">
        <f t="shared" si="121"/>
        <v>10694589</v>
      </c>
      <c r="DI95" s="27"/>
      <c r="DJ95" s="27">
        <f t="shared" si="122"/>
        <v>0</v>
      </c>
      <c r="DK95" s="27">
        <f t="shared" si="122"/>
        <v>0</v>
      </c>
      <c r="DL95" s="27">
        <f t="shared" si="122"/>
        <v>0</v>
      </c>
    </row>
    <row r="96" spans="1:116" ht="30" x14ac:dyDescent="0.25">
      <c r="A96" s="246"/>
      <c r="B96" s="230"/>
      <c r="C96" s="75" t="s">
        <v>264</v>
      </c>
      <c r="D96" s="24" t="s">
        <v>265</v>
      </c>
      <c r="E96" s="25">
        <v>301</v>
      </c>
      <c r="F96" s="26" t="s">
        <v>266</v>
      </c>
      <c r="G96" s="27">
        <f t="shared" si="104"/>
        <v>51000000</v>
      </c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>
        <v>25000000</v>
      </c>
      <c r="X96" s="27"/>
      <c r="Y96" s="27"/>
      <c r="Z96" s="27"/>
      <c r="AA96" s="27">
        <f>25000000+1000000</f>
        <v>26000000</v>
      </c>
      <c r="AC96" s="29">
        <f t="shared" si="105"/>
        <v>0.28146788235294118</v>
      </c>
      <c r="AD96" s="27">
        <f>SUM(AE96:AX96)</f>
        <v>14354862</v>
      </c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>
        <f>+'[1]JUNIO 2016'!$Z$484</f>
        <v>2000000</v>
      </c>
      <c r="AU96" s="27"/>
      <c r="AV96" s="27"/>
      <c r="AW96" s="27"/>
      <c r="AX96" s="27">
        <f>+'[1]JUNIO 2016'!$AG$484</f>
        <v>12354862</v>
      </c>
      <c r="AY96" s="29">
        <f t="shared" si="107"/>
        <v>0.71853211764705882</v>
      </c>
      <c r="AZ96" s="27">
        <f t="shared" si="108"/>
        <v>36645138</v>
      </c>
      <c r="BA96" s="27">
        <f t="shared" si="109"/>
        <v>0</v>
      </c>
      <c r="BB96" s="27">
        <f t="shared" si="110"/>
        <v>0</v>
      </c>
      <c r="BC96" s="27">
        <f t="shared" si="110"/>
        <v>0</v>
      </c>
      <c r="BD96" s="27">
        <f t="shared" si="110"/>
        <v>0</v>
      </c>
      <c r="BE96" s="27">
        <f t="shared" si="111"/>
        <v>0</v>
      </c>
      <c r="BF96" s="27">
        <f t="shared" si="111"/>
        <v>0</v>
      </c>
      <c r="BG96" s="27">
        <f t="shared" si="111"/>
        <v>0</v>
      </c>
      <c r="BH96" s="27">
        <f t="shared" si="111"/>
        <v>0</v>
      </c>
      <c r="BI96" s="27">
        <f t="shared" si="111"/>
        <v>0</v>
      </c>
      <c r="BJ96" s="27">
        <f t="shared" si="111"/>
        <v>0</v>
      </c>
      <c r="BK96" s="27">
        <f t="shared" si="111"/>
        <v>0</v>
      </c>
      <c r="BL96" s="27">
        <f t="shared" si="111"/>
        <v>0</v>
      </c>
      <c r="BM96" s="27">
        <f t="shared" si="111"/>
        <v>0</v>
      </c>
      <c r="BN96" s="27">
        <f t="shared" si="111"/>
        <v>0</v>
      </c>
      <c r="BO96" s="27">
        <f t="shared" si="111"/>
        <v>0</v>
      </c>
      <c r="BP96" s="27">
        <f t="shared" si="111"/>
        <v>23000000</v>
      </c>
      <c r="BQ96" s="27"/>
      <c r="BR96" s="27"/>
      <c r="BS96" s="27">
        <f t="shared" si="112"/>
        <v>0</v>
      </c>
      <c r="BT96" s="27">
        <f t="shared" si="113"/>
        <v>13645138</v>
      </c>
      <c r="BU96" s="29">
        <f t="shared" si="114"/>
        <v>0.26625219607843137</v>
      </c>
      <c r="BV96" s="27">
        <f t="shared" si="115"/>
        <v>13578862</v>
      </c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>
        <v>2000000</v>
      </c>
      <c r="CM96" s="27"/>
      <c r="CN96" s="27"/>
      <c r="CO96" s="27"/>
      <c r="CP96" s="27">
        <f>+'[1]JUNIO 2016'!$H$482-CL96</f>
        <v>11578862</v>
      </c>
      <c r="CQ96" s="29">
        <f t="shared" si="116"/>
        <v>0.73374780392156858</v>
      </c>
      <c r="CR96" s="27">
        <f t="shared" si="117"/>
        <v>37421138</v>
      </c>
      <c r="CS96" s="27">
        <f t="shared" si="118"/>
        <v>0</v>
      </c>
      <c r="CT96" s="27">
        <f t="shared" si="118"/>
        <v>0</v>
      </c>
      <c r="CU96" s="27">
        <f t="shared" si="118"/>
        <v>0</v>
      </c>
      <c r="CV96" s="27">
        <f t="shared" si="118"/>
        <v>0</v>
      </c>
      <c r="CW96" s="27">
        <f t="shared" si="118"/>
        <v>0</v>
      </c>
      <c r="CX96" s="27">
        <f t="shared" si="118"/>
        <v>0</v>
      </c>
      <c r="CY96" s="27">
        <f t="shared" si="118"/>
        <v>0</v>
      </c>
      <c r="CZ96" s="27">
        <f t="shared" si="119"/>
        <v>0</v>
      </c>
      <c r="DA96" s="27">
        <f t="shared" si="119"/>
        <v>0</v>
      </c>
      <c r="DB96" s="27">
        <f t="shared" si="119"/>
        <v>0</v>
      </c>
      <c r="DC96" s="27">
        <f t="shared" si="120"/>
        <v>0</v>
      </c>
      <c r="DD96" s="27">
        <f t="shared" si="120"/>
        <v>0</v>
      </c>
      <c r="DE96" s="27">
        <f t="shared" si="120"/>
        <v>0</v>
      </c>
      <c r="DF96" s="27">
        <f t="shared" si="121"/>
        <v>0</v>
      </c>
      <c r="DG96" s="27">
        <f t="shared" si="121"/>
        <v>0</v>
      </c>
      <c r="DH96" s="27">
        <f t="shared" si="121"/>
        <v>23000000</v>
      </c>
      <c r="DI96" s="27"/>
      <c r="DJ96" s="27">
        <f t="shared" si="122"/>
        <v>0</v>
      </c>
      <c r="DK96" s="27">
        <f t="shared" si="122"/>
        <v>0</v>
      </c>
      <c r="DL96" s="27">
        <f t="shared" si="122"/>
        <v>14421138</v>
      </c>
    </row>
    <row r="97" spans="1:117" x14ac:dyDescent="0.25">
      <c r="A97" s="246"/>
      <c r="B97" s="230"/>
      <c r="C97" s="75" t="s">
        <v>267</v>
      </c>
      <c r="D97" s="24" t="s">
        <v>268</v>
      </c>
      <c r="E97" s="25">
        <v>301</v>
      </c>
      <c r="F97" s="26" t="s">
        <v>259</v>
      </c>
      <c r="G97" s="27">
        <f t="shared" si="104"/>
        <v>34000000</v>
      </c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>
        <v>34000000</v>
      </c>
      <c r="X97" s="27"/>
      <c r="Y97" s="27"/>
      <c r="Z97" s="27"/>
      <c r="AA97" s="27"/>
      <c r="AC97" s="29">
        <f t="shared" si="105"/>
        <v>0.99863861764705886</v>
      </c>
      <c r="AD97" s="27">
        <f t="shared" si="106"/>
        <v>33953713</v>
      </c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>
        <f>+'[4]ABRIL 2016'!$Z$347</f>
        <v>33953713</v>
      </c>
      <c r="AU97" s="27"/>
      <c r="AV97" s="27"/>
      <c r="AW97" s="27"/>
      <c r="AX97" s="27"/>
      <c r="AY97" s="29">
        <f t="shared" si="107"/>
        <v>1.3613823529411428E-3</v>
      </c>
      <c r="AZ97" s="27">
        <f t="shared" si="108"/>
        <v>46287</v>
      </c>
      <c r="BA97" s="27">
        <f t="shared" si="109"/>
        <v>0</v>
      </c>
      <c r="BB97" s="27">
        <f t="shared" si="110"/>
        <v>0</v>
      </c>
      <c r="BC97" s="27">
        <f t="shared" si="110"/>
        <v>0</v>
      </c>
      <c r="BD97" s="27">
        <f t="shared" si="110"/>
        <v>0</v>
      </c>
      <c r="BE97" s="27">
        <f t="shared" si="111"/>
        <v>0</v>
      </c>
      <c r="BF97" s="27">
        <f t="shared" si="111"/>
        <v>0</v>
      </c>
      <c r="BG97" s="27">
        <f t="shared" si="111"/>
        <v>0</v>
      </c>
      <c r="BH97" s="27">
        <f t="shared" si="111"/>
        <v>0</v>
      </c>
      <c r="BI97" s="27">
        <f t="shared" si="111"/>
        <v>0</v>
      </c>
      <c r="BJ97" s="27">
        <f t="shared" si="111"/>
        <v>0</v>
      </c>
      <c r="BK97" s="27">
        <f t="shared" si="111"/>
        <v>0</v>
      </c>
      <c r="BL97" s="27">
        <f t="shared" si="111"/>
        <v>0</v>
      </c>
      <c r="BM97" s="27">
        <f t="shared" si="111"/>
        <v>0</v>
      </c>
      <c r="BN97" s="27">
        <f t="shared" si="111"/>
        <v>0</v>
      </c>
      <c r="BO97" s="27">
        <f t="shared" si="111"/>
        <v>0</v>
      </c>
      <c r="BP97" s="27">
        <f t="shared" si="111"/>
        <v>46287</v>
      </c>
      <c r="BQ97" s="27"/>
      <c r="BR97" s="27"/>
      <c r="BS97" s="27">
        <f t="shared" si="112"/>
        <v>0</v>
      </c>
      <c r="BT97" s="27">
        <f t="shared" si="113"/>
        <v>0</v>
      </c>
      <c r="BU97" s="29">
        <f t="shared" si="114"/>
        <v>0.99650888235294122</v>
      </c>
      <c r="BV97" s="27">
        <f t="shared" si="115"/>
        <v>33881302</v>
      </c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>
        <f>+'[3]MAYO 2016'!$H$416</f>
        <v>33881302</v>
      </c>
      <c r="CM97" s="27"/>
      <c r="CN97" s="27"/>
      <c r="CO97" s="27"/>
      <c r="CP97" s="27"/>
      <c r="CQ97" s="29">
        <f t="shared" si="116"/>
        <v>3.4911176470587835E-3</v>
      </c>
      <c r="CR97" s="27">
        <f t="shared" si="117"/>
        <v>118698</v>
      </c>
      <c r="CS97" s="27">
        <f t="shared" si="118"/>
        <v>0</v>
      </c>
      <c r="CT97" s="27">
        <f t="shared" si="118"/>
        <v>0</v>
      </c>
      <c r="CU97" s="27">
        <f t="shared" si="118"/>
        <v>0</v>
      </c>
      <c r="CV97" s="27">
        <f t="shared" si="118"/>
        <v>0</v>
      </c>
      <c r="CW97" s="27">
        <f t="shared" si="118"/>
        <v>0</v>
      </c>
      <c r="CX97" s="27">
        <f t="shared" si="118"/>
        <v>0</v>
      </c>
      <c r="CY97" s="27">
        <f t="shared" si="118"/>
        <v>0</v>
      </c>
      <c r="CZ97" s="27">
        <f t="shared" si="119"/>
        <v>0</v>
      </c>
      <c r="DA97" s="27">
        <f t="shared" si="119"/>
        <v>0</v>
      </c>
      <c r="DB97" s="27">
        <f t="shared" si="119"/>
        <v>0</v>
      </c>
      <c r="DC97" s="27">
        <f t="shared" si="120"/>
        <v>0</v>
      </c>
      <c r="DD97" s="27">
        <f t="shared" si="120"/>
        <v>0</v>
      </c>
      <c r="DE97" s="27">
        <f t="shared" si="120"/>
        <v>0</v>
      </c>
      <c r="DF97" s="27">
        <f t="shared" si="121"/>
        <v>0</v>
      </c>
      <c r="DG97" s="27">
        <f t="shared" si="121"/>
        <v>0</v>
      </c>
      <c r="DH97" s="27">
        <f t="shared" si="121"/>
        <v>118698</v>
      </c>
      <c r="DI97" s="27"/>
      <c r="DJ97" s="27">
        <f t="shared" si="122"/>
        <v>0</v>
      </c>
      <c r="DK97" s="27">
        <f t="shared" si="122"/>
        <v>0</v>
      </c>
      <c r="DL97" s="27">
        <f t="shared" si="122"/>
        <v>0</v>
      </c>
    </row>
    <row r="98" spans="1:117" ht="15" customHeight="1" x14ac:dyDescent="0.25">
      <c r="A98" s="246"/>
      <c r="B98" s="230"/>
      <c r="C98" s="75" t="s">
        <v>269</v>
      </c>
      <c r="D98" s="24" t="s">
        <v>270</v>
      </c>
      <c r="E98" s="25">
        <v>301</v>
      </c>
      <c r="F98" s="26" t="s">
        <v>182</v>
      </c>
      <c r="G98" s="27">
        <f t="shared" si="104"/>
        <v>60000000</v>
      </c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>
        <v>60000000</v>
      </c>
      <c r="X98" s="27"/>
      <c r="Y98" s="27"/>
      <c r="Z98" s="27"/>
      <c r="AA98" s="27"/>
      <c r="AC98" s="29">
        <f t="shared" si="105"/>
        <v>1</v>
      </c>
      <c r="AD98" s="27">
        <f t="shared" si="106"/>
        <v>60000000</v>
      </c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>
        <f>+'[5]ENERO 2016'!$Z$180</f>
        <v>60000000</v>
      </c>
      <c r="AU98" s="27"/>
      <c r="AV98" s="27"/>
      <c r="AW98" s="27"/>
      <c r="AX98" s="27"/>
      <c r="AY98" s="29">
        <f t="shared" si="107"/>
        <v>0</v>
      </c>
      <c r="AZ98" s="27">
        <f t="shared" si="108"/>
        <v>0</v>
      </c>
      <c r="BA98" s="27">
        <f t="shared" si="109"/>
        <v>0</v>
      </c>
      <c r="BB98" s="27">
        <f t="shared" si="110"/>
        <v>0</v>
      </c>
      <c r="BC98" s="27">
        <f t="shared" si="110"/>
        <v>0</v>
      </c>
      <c r="BD98" s="27">
        <f t="shared" si="110"/>
        <v>0</v>
      </c>
      <c r="BE98" s="27">
        <f t="shared" si="111"/>
        <v>0</v>
      </c>
      <c r="BF98" s="27">
        <f t="shared" si="111"/>
        <v>0</v>
      </c>
      <c r="BG98" s="27">
        <f t="shared" si="111"/>
        <v>0</v>
      </c>
      <c r="BH98" s="27">
        <f t="shared" si="111"/>
        <v>0</v>
      </c>
      <c r="BI98" s="27">
        <f t="shared" si="111"/>
        <v>0</v>
      </c>
      <c r="BJ98" s="27">
        <f t="shared" si="111"/>
        <v>0</v>
      </c>
      <c r="BK98" s="27">
        <f t="shared" si="111"/>
        <v>0</v>
      </c>
      <c r="BL98" s="27">
        <f t="shared" si="111"/>
        <v>0</v>
      </c>
      <c r="BM98" s="27">
        <f t="shared" si="111"/>
        <v>0</v>
      </c>
      <c r="BN98" s="27">
        <f t="shared" si="111"/>
        <v>0</v>
      </c>
      <c r="BO98" s="27">
        <f t="shared" si="111"/>
        <v>0</v>
      </c>
      <c r="BP98" s="27">
        <f t="shared" si="111"/>
        <v>0</v>
      </c>
      <c r="BQ98" s="27"/>
      <c r="BR98" s="27"/>
      <c r="BS98" s="27">
        <f t="shared" si="112"/>
        <v>0</v>
      </c>
      <c r="BT98" s="27">
        <f t="shared" si="113"/>
        <v>0</v>
      </c>
      <c r="BU98" s="29">
        <f t="shared" si="114"/>
        <v>0.83254110000000003</v>
      </c>
      <c r="BV98" s="27">
        <f t="shared" si="115"/>
        <v>49952466</v>
      </c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>
        <f>+'[1]JUNIO 2016'!$H$511</f>
        <v>49952466</v>
      </c>
      <c r="CM98" s="27"/>
      <c r="CN98" s="27"/>
      <c r="CO98" s="27"/>
      <c r="CP98" s="27"/>
      <c r="CQ98" s="29">
        <f t="shared" si="116"/>
        <v>0.16745889999999997</v>
      </c>
      <c r="CR98" s="27">
        <f t="shared" si="117"/>
        <v>10047534</v>
      </c>
      <c r="CS98" s="27">
        <f t="shared" si="118"/>
        <v>0</v>
      </c>
      <c r="CT98" s="27">
        <f t="shared" si="118"/>
        <v>0</v>
      </c>
      <c r="CU98" s="27">
        <f t="shared" si="118"/>
        <v>0</v>
      </c>
      <c r="CV98" s="27">
        <f t="shared" si="118"/>
        <v>0</v>
      </c>
      <c r="CW98" s="27">
        <f t="shared" si="118"/>
        <v>0</v>
      </c>
      <c r="CX98" s="27">
        <f t="shared" si="118"/>
        <v>0</v>
      </c>
      <c r="CY98" s="27">
        <f t="shared" si="118"/>
        <v>0</v>
      </c>
      <c r="CZ98" s="27">
        <f t="shared" si="119"/>
        <v>0</v>
      </c>
      <c r="DA98" s="27">
        <f t="shared" si="119"/>
        <v>0</v>
      </c>
      <c r="DB98" s="27">
        <f t="shared" si="119"/>
        <v>0</v>
      </c>
      <c r="DC98" s="27">
        <f t="shared" si="120"/>
        <v>0</v>
      </c>
      <c r="DD98" s="27">
        <f t="shared" si="120"/>
        <v>0</v>
      </c>
      <c r="DE98" s="27">
        <f t="shared" si="120"/>
        <v>0</v>
      </c>
      <c r="DF98" s="27">
        <f t="shared" si="121"/>
        <v>0</v>
      </c>
      <c r="DG98" s="27">
        <f t="shared" si="121"/>
        <v>0</v>
      </c>
      <c r="DH98" s="27">
        <f t="shared" si="121"/>
        <v>10047534</v>
      </c>
      <c r="DI98" s="27"/>
      <c r="DJ98" s="27">
        <f t="shared" si="122"/>
        <v>0</v>
      </c>
      <c r="DK98" s="27">
        <f t="shared" si="122"/>
        <v>0</v>
      </c>
      <c r="DL98" s="27">
        <f t="shared" si="122"/>
        <v>0</v>
      </c>
    </row>
    <row r="99" spans="1:117" ht="21" customHeight="1" x14ac:dyDescent="0.25">
      <c r="A99" s="246"/>
      <c r="B99" s="230"/>
      <c r="C99" s="75" t="s">
        <v>271</v>
      </c>
      <c r="D99" s="24" t="s">
        <v>272</v>
      </c>
      <c r="E99" s="25">
        <v>301</v>
      </c>
      <c r="F99" s="26" t="s">
        <v>273</v>
      </c>
      <c r="G99" s="27">
        <f t="shared" si="104"/>
        <v>20000000</v>
      </c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>
        <v>20000000</v>
      </c>
      <c r="X99" s="27"/>
      <c r="Y99" s="27"/>
      <c r="Z99" s="27"/>
      <c r="AA99" s="27"/>
      <c r="AC99" s="29">
        <f t="shared" si="105"/>
        <v>0</v>
      </c>
      <c r="AD99" s="27">
        <f t="shared" si="106"/>
        <v>0</v>
      </c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9">
        <f t="shared" si="107"/>
        <v>1</v>
      </c>
      <c r="AZ99" s="27">
        <f t="shared" si="108"/>
        <v>20000000</v>
      </c>
      <c r="BA99" s="27">
        <f t="shared" si="109"/>
        <v>0</v>
      </c>
      <c r="BB99" s="27">
        <f t="shared" si="110"/>
        <v>0</v>
      </c>
      <c r="BC99" s="27">
        <f t="shared" si="110"/>
        <v>0</v>
      </c>
      <c r="BD99" s="27">
        <f t="shared" si="110"/>
        <v>0</v>
      </c>
      <c r="BE99" s="27">
        <f t="shared" si="111"/>
        <v>0</v>
      </c>
      <c r="BF99" s="27">
        <f t="shared" si="111"/>
        <v>0</v>
      </c>
      <c r="BG99" s="27">
        <f t="shared" si="111"/>
        <v>0</v>
      </c>
      <c r="BH99" s="27">
        <f t="shared" si="111"/>
        <v>0</v>
      </c>
      <c r="BI99" s="27">
        <f t="shared" si="111"/>
        <v>0</v>
      </c>
      <c r="BJ99" s="27">
        <f t="shared" si="111"/>
        <v>0</v>
      </c>
      <c r="BK99" s="27">
        <f t="shared" si="111"/>
        <v>0</v>
      </c>
      <c r="BL99" s="27">
        <f t="shared" si="111"/>
        <v>0</v>
      </c>
      <c r="BM99" s="27">
        <f t="shared" si="111"/>
        <v>0</v>
      </c>
      <c r="BN99" s="27">
        <f t="shared" si="111"/>
        <v>0</v>
      </c>
      <c r="BO99" s="27">
        <f t="shared" si="111"/>
        <v>0</v>
      </c>
      <c r="BP99" s="27">
        <f t="shared" si="111"/>
        <v>20000000</v>
      </c>
      <c r="BQ99" s="27"/>
      <c r="BR99" s="27"/>
      <c r="BS99" s="27">
        <f t="shared" si="112"/>
        <v>0</v>
      </c>
      <c r="BT99" s="27">
        <f t="shared" si="113"/>
        <v>0</v>
      </c>
      <c r="BU99" s="29">
        <f t="shared" si="114"/>
        <v>0</v>
      </c>
      <c r="BV99" s="27">
        <f t="shared" si="115"/>
        <v>0</v>
      </c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9">
        <f t="shared" si="116"/>
        <v>1</v>
      </c>
      <c r="CR99" s="27">
        <f t="shared" si="117"/>
        <v>20000000</v>
      </c>
      <c r="CS99" s="27">
        <f t="shared" si="118"/>
        <v>0</v>
      </c>
      <c r="CT99" s="27">
        <f t="shared" si="118"/>
        <v>0</v>
      </c>
      <c r="CU99" s="27">
        <f t="shared" si="118"/>
        <v>0</v>
      </c>
      <c r="CV99" s="27">
        <f t="shared" si="118"/>
        <v>0</v>
      </c>
      <c r="CW99" s="27">
        <f t="shared" si="118"/>
        <v>0</v>
      </c>
      <c r="CX99" s="27">
        <f t="shared" si="118"/>
        <v>0</v>
      </c>
      <c r="CY99" s="27">
        <f t="shared" si="118"/>
        <v>0</v>
      </c>
      <c r="CZ99" s="27">
        <f t="shared" si="118"/>
        <v>0</v>
      </c>
      <c r="DA99" s="27">
        <f t="shared" si="118"/>
        <v>0</v>
      </c>
      <c r="DB99" s="27">
        <f t="shared" si="118"/>
        <v>0</v>
      </c>
      <c r="DC99" s="27">
        <f t="shared" si="120"/>
        <v>0</v>
      </c>
      <c r="DD99" s="27">
        <f t="shared" si="120"/>
        <v>0</v>
      </c>
      <c r="DE99" s="27">
        <f t="shared" si="120"/>
        <v>0</v>
      </c>
      <c r="DF99" s="27">
        <f t="shared" si="121"/>
        <v>0</v>
      </c>
      <c r="DG99" s="27">
        <f t="shared" si="121"/>
        <v>0</v>
      </c>
      <c r="DH99" s="27">
        <f t="shared" si="121"/>
        <v>20000000</v>
      </c>
      <c r="DI99" s="27"/>
      <c r="DJ99" s="27">
        <f t="shared" si="122"/>
        <v>0</v>
      </c>
      <c r="DK99" s="27">
        <f t="shared" si="122"/>
        <v>0</v>
      </c>
      <c r="DL99" s="27">
        <f t="shared" si="122"/>
        <v>0</v>
      </c>
    </row>
    <row r="100" spans="1:117" ht="30" x14ac:dyDescent="0.25">
      <c r="A100" s="246"/>
      <c r="B100" s="231"/>
      <c r="C100" s="75" t="s">
        <v>274</v>
      </c>
      <c r="D100" s="24" t="s">
        <v>275</v>
      </c>
      <c r="E100" s="25">
        <v>301</v>
      </c>
      <c r="F100" s="26" t="s">
        <v>259</v>
      </c>
      <c r="G100" s="27">
        <f t="shared" si="104"/>
        <v>26000000</v>
      </c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>
        <v>26000000</v>
      </c>
      <c r="X100" s="27"/>
      <c r="Y100" s="27"/>
      <c r="Z100" s="27"/>
      <c r="AA100" s="27"/>
      <c r="AC100" s="29">
        <f t="shared" si="105"/>
        <v>1</v>
      </c>
      <c r="AD100" s="27">
        <f t="shared" si="106"/>
        <v>26000000</v>
      </c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>
        <f>+'[5]ENERO 2016'!$Z$190</f>
        <v>26000000</v>
      </c>
      <c r="AU100" s="27"/>
      <c r="AV100" s="27"/>
      <c r="AW100" s="27"/>
      <c r="AX100" s="27"/>
      <c r="AY100" s="29">
        <f t="shared" si="107"/>
        <v>0</v>
      </c>
      <c r="AZ100" s="27">
        <f t="shared" si="108"/>
        <v>0</v>
      </c>
      <c r="BA100" s="27">
        <f t="shared" si="109"/>
        <v>0</v>
      </c>
      <c r="BB100" s="27">
        <f t="shared" si="110"/>
        <v>0</v>
      </c>
      <c r="BC100" s="27">
        <f t="shared" si="110"/>
        <v>0</v>
      </c>
      <c r="BD100" s="27">
        <f t="shared" si="110"/>
        <v>0</v>
      </c>
      <c r="BE100" s="27">
        <f t="shared" si="110"/>
        <v>0</v>
      </c>
      <c r="BF100" s="27">
        <f t="shared" si="110"/>
        <v>0</v>
      </c>
      <c r="BG100" s="27">
        <f t="shared" si="110"/>
        <v>0</v>
      </c>
      <c r="BH100" s="27">
        <f t="shared" si="110"/>
        <v>0</v>
      </c>
      <c r="BI100" s="27">
        <f t="shared" si="110"/>
        <v>0</v>
      </c>
      <c r="BJ100" s="27">
        <f t="shared" si="110"/>
        <v>0</v>
      </c>
      <c r="BK100" s="27">
        <f t="shared" si="110"/>
        <v>0</v>
      </c>
      <c r="BL100" s="27">
        <f t="shared" si="110"/>
        <v>0</v>
      </c>
      <c r="BM100" s="27">
        <f t="shared" si="110"/>
        <v>0</v>
      </c>
      <c r="BN100" s="27">
        <f t="shared" si="110"/>
        <v>0</v>
      </c>
      <c r="BO100" s="27">
        <f t="shared" si="110"/>
        <v>0</v>
      </c>
      <c r="BP100" s="27">
        <f t="shared" si="110"/>
        <v>0</v>
      </c>
      <c r="BQ100" s="27"/>
      <c r="BR100" s="27">
        <f>Y100-AV100</f>
        <v>0</v>
      </c>
      <c r="BS100" s="27">
        <f t="shared" si="112"/>
        <v>0</v>
      </c>
      <c r="BT100" s="27">
        <f>AA100-AX100</f>
        <v>0</v>
      </c>
      <c r="BU100" s="29">
        <f t="shared" si="114"/>
        <v>0.42299038461538463</v>
      </c>
      <c r="BV100" s="27">
        <f t="shared" si="115"/>
        <v>10997750</v>
      </c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>
        <f>+'[1]JUNIO 2016'!$H$539</f>
        <v>10997750</v>
      </c>
      <c r="CM100" s="27"/>
      <c r="CN100" s="27"/>
      <c r="CO100" s="27"/>
      <c r="CP100" s="27"/>
      <c r="CQ100" s="29">
        <f t="shared" si="116"/>
        <v>0.57700961538461537</v>
      </c>
      <c r="CR100" s="27">
        <f t="shared" si="117"/>
        <v>15002250</v>
      </c>
      <c r="CS100" s="27">
        <f t="shared" si="118"/>
        <v>0</v>
      </c>
      <c r="CT100" s="27">
        <f t="shared" si="118"/>
        <v>0</v>
      </c>
      <c r="CU100" s="27">
        <f t="shared" si="118"/>
        <v>0</v>
      </c>
      <c r="CV100" s="27">
        <f t="shared" si="118"/>
        <v>0</v>
      </c>
      <c r="CW100" s="27">
        <f t="shared" si="118"/>
        <v>0</v>
      </c>
      <c r="CX100" s="27">
        <f t="shared" si="118"/>
        <v>0</v>
      </c>
      <c r="CY100" s="27">
        <f t="shared" si="118"/>
        <v>0</v>
      </c>
      <c r="CZ100" s="27">
        <f t="shared" si="118"/>
        <v>0</v>
      </c>
      <c r="DA100" s="27">
        <f t="shared" si="118"/>
        <v>0</v>
      </c>
      <c r="DB100" s="27">
        <f t="shared" si="118"/>
        <v>0</v>
      </c>
      <c r="DC100" s="27">
        <f t="shared" si="120"/>
        <v>0</v>
      </c>
      <c r="DD100" s="27">
        <f t="shared" si="120"/>
        <v>0</v>
      </c>
      <c r="DE100" s="27">
        <f t="shared" si="120"/>
        <v>0</v>
      </c>
      <c r="DF100" s="27">
        <f>U100-CJ100</f>
        <v>0</v>
      </c>
      <c r="DG100" s="27">
        <f>V100-CK100</f>
        <v>0</v>
      </c>
      <c r="DH100" s="27">
        <f>W100-CL100</f>
        <v>15002250</v>
      </c>
      <c r="DI100" s="27"/>
      <c r="DJ100" s="27">
        <f>Y100-CN100</f>
        <v>0</v>
      </c>
      <c r="DK100" s="27">
        <f>Z100-CO100</f>
        <v>0</v>
      </c>
      <c r="DL100" s="27">
        <f>AA100-CP100</f>
        <v>0</v>
      </c>
    </row>
    <row r="101" spans="1:117" ht="33" customHeight="1" x14ac:dyDescent="0.25">
      <c r="A101" s="246"/>
      <c r="B101" s="93" t="s">
        <v>276</v>
      </c>
      <c r="C101" s="94" t="s">
        <v>277</v>
      </c>
      <c r="D101" s="24" t="s">
        <v>278</v>
      </c>
      <c r="E101" s="36">
        <v>301</v>
      </c>
      <c r="F101" s="26" t="s">
        <v>279</v>
      </c>
      <c r="G101" s="27">
        <f t="shared" si="104"/>
        <v>323000000</v>
      </c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>
        <v>322000000</v>
      </c>
      <c r="X101" s="27"/>
      <c r="Y101" s="27"/>
      <c r="Z101" s="27"/>
      <c r="AA101" s="27">
        <f>1000000</f>
        <v>1000000</v>
      </c>
      <c r="AC101" s="29">
        <f t="shared" si="105"/>
        <v>0.69181694427244578</v>
      </c>
      <c r="AD101" s="27">
        <f t="shared" si="106"/>
        <v>223456873</v>
      </c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>
        <f>+'[1]JUNIO 2016'!$Z$549</f>
        <v>223456873</v>
      </c>
      <c r="AU101" s="27"/>
      <c r="AV101" s="27"/>
      <c r="AW101" s="27"/>
      <c r="AX101" s="27"/>
      <c r="AY101" s="29">
        <f t="shared" si="107"/>
        <v>0.30818305572755422</v>
      </c>
      <c r="AZ101" s="27">
        <f t="shared" si="108"/>
        <v>99543127</v>
      </c>
      <c r="BA101" s="27">
        <f t="shared" si="109"/>
        <v>0</v>
      </c>
      <c r="BB101" s="27">
        <f t="shared" si="110"/>
        <v>0</v>
      </c>
      <c r="BC101" s="27">
        <f t="shared" si="110"/>
        <v>0</v>
      </c>
      <c r="BD101" s="27">
        <f t="shared" si="110"/>
        <v>0</v>
      </c>
      <c r="BE101" s="27">
        <f t="shared" ref="BE101:BP107" si="123">+L101-AI101</f>
        <v>0</v>
      </c>
      <c r="BF101" s="27">
        <f t="shared" si="123"/>
        <v>0</v>
      </c>
      <c r="BG101" s="27">
        <f t="shared" si="123"/>
        <v>0</v>
      </c>
      <c r="BH101" s="27">
        <f t="shared" si="123"/>
        <v>0</v>
      </c>
      <c r="BI101" s="27">
        <f t="shared" si="123"/>
        <v>0</v>
      </c>
      <c r="BJ101" s="27">
        <f t="shared" si="123"/>
        <v>0</v>
      </c>
      <c r="BK101" s="27">
        <f t="shared" si="123"/>
        <v>0</v>
      </c>
      <c r="BL101" s="27">
        <f t="shared" si="123"/>
        <v>0</v>
      </c>
      <c r="BM101" s="27">
        <f t="shared" si="123"/>
        <v>0</v>
      </c>
      <c r="BN101" s="27">
        <f t="shared" si="123"/>
        <v>0</v>
      </c>
      <c r="BO101" s="27">
        <f t="shared" si="123"/>
        <v>0</v>
      </c>
      <c r="BP101" s="27">
        <f t="shared" si="123"/>
        <v>98543127</v>
      </c>
      <c r="BQ101" s="27"/>
      <c r="BR101" s="27"/>
      <c r="BS101" s="27">
        <f t="shared" si="112"/>
        <v>0</v>
      </c>
      <c r="BT101" s="27">
        <f t="shared" ref="BT101:BT107" si="124">+AA101-AX101</f>
        <v>1000000</v>
      </c>
      <c r="BU101" s="29">
        <f t="shared" si="114"/>
        <v>0.66958216408668736</v>
      </c>
      <c r="BV101" s="27">
        <f t="shared" si="115"/>
        <v>216275039</v>
      </c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>
        <f>+'[1]JUNIO 2016'!$H$547</f>
        <v>216275039</v>
      </c>
      <c r="CM101" s="27"/>
      <c r="CN101" s="27"/>
      <c r="CO101" s="27"/>
      <c r="CP101" s="27"/>
      <c r="CQ101" s="29">
        <f t="shared" si="116"/>
        <v>0.33041783591331264</v>
      </c>
      <c r="CR101" s="27">
        <f t="shared" si="117"/>
        <v>106724961</v>
      </c>
      <c r="CS101" s="27">
        <f t="shared" si="118"/>
        <v>0</v>
      </c>
      <c r="CT101" s="27">
        <f t="shared" si="118"/>
        <v>0</v>
      </c>
      <c r="CU101" s="27">
        <f t="shared" si="118"/>
        <v>0</v>
      </c>
      <c r="CV101" s="27">
        <f t="shared" si="118"/>
        <v>0</v>
      </c>
      <c r="CW101" s="27">
        <f t="shared" si="118"/>
        <v>0</v>
      </c>
      <c r="CX101" s="27">
        <f t="shared" si="118"/>
        <v>0</v>
      </c>
      <c r="CY101" s="27">
        <f t="shared" si="118"/>
        <v>0</v>
      </c>
      <c r="CZ101" s="27">
        <f t="shared" ref="CZ101:DA107" si="125">+O101-CD101</f>
        <v>0</v>
      </c>
      <c r="DA101" s="27">
        <f t="shared" si="125"/>
        <v>0</v>
      </c>
      <c r="DB101" s="27">
        <f t="shared" si="118"/>
        <v>0</v>
      </c>
      <c r="DC101" s="27">
        <f t="shared" si="120"/>
        <v>0</v>
      </c>
      <c r="DD101" s="27">
        <f t="shared" si="120"/>
        <v>0</v>
      </c>
      <c r="DE101" s="27">
        <f t="shared" si="120"/>
        <v>0</v>
      </c>
      <c r="DF101" s="27">
        <f t="shared" ref="DF101:DH107" si="126">+U101-CJ101</f>
        <v>0</v>
      </c>
      <c r="DG101" s="27">
        <f t="shared" si="126"/>
        <v>0</v>
      </c>
      <c r="DH101" s="27">
        <f t="shared" si="126"/>
        <v>105724961</v>
      </c>
      <c r="DI101" s="27"/>
      <c r="DJ101" s="27">
        <f t="shared" ref="DJ101:DL107" si="127">+Y101-CN101</f>
        <v>0</v>
      </c>
      <c r="DK101" s="27">
        <f t="shared" si="127"/>
        <v>0</v>
      </c>
      <c r="DL101" s="27">
        <f t="shared" si="127"/>
        <v>1000000</v>
      </c>
    </row>
    <row r="102" spans="1:117" ht="48" customHeight="1" x14ac:dyDescent="0.25">
      <c r="A102" s="246"/>
      <c r="B102" s="95" t="s">
        <v>280</v>
      </c>
      <c r="C102" s="75" t="s">
        <v>281</v>
      </c>
      <c r="D102" s="24" t="s">
        <v>282</v>
      </c>
      <c r="E102" s="25">
        <v>301</v>
      </c>
      <c r="F102" s="26" t="s">
        <v>283</v>
      </c>
      <c r="G102" s="27">
        <f t="shared" si="104"/>
        <v>325425485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>
        <v>316000000</v>
      </c>
      <c r="X102" s="27"/>
      <c r="Y102" s="27"/>
      <c r="Z102" s="27"/>
      <c r="AA102" s="27">
        <f>6000000+1000000+2425485</f>
        <v>9425485</v>
      </c>
      <c r="AC102" s="29">
        <f t="shared" si="105"/>
        <v>0.42678004152010407</v>
      </c>
      <c r="AD102" s="27">
        <f t="shared" si="106"/>
        <v>138885102</v>
      </c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>
        <f>+'[1]JUNIO 2016'!$Z$584</f>
        <v>134185102</v>
      </c>
      <c r="AU102" s="27"/>
      <c r="AV102" s="27"/>
      <c r="AW102" s="27"/>
      <c r="AX102" s="27">
        <f>+'[1]JUNIO 2016'!$AG$584</f>
        <v>4700000</v>
      </c>
      <c r="AY102" s="29">
        <f t="shared" si="107"/>
        <v>0.57321995847989593</v>
      </c>
      <c r="AZ102" s="27">
        <f t="shared" si="108"/>
        <v>186540383</v>
      </c>
      <c r="BA102" s="27">
        <f t="shared" si="109"/>
        <v>0</v>
      </c>
      <c r="BB102" s="27">
        <f t="shared" si="110"/>
        <v>0</v>
      </c>
      <c r="BC102" s="27">
        <f t="shared" si="110"/>
        <v>0</v>
      </c>
      <c r="BD102" s="27">
        <f t="shared" si="110"/>
        <v>0</v>
      </c>
      <c r="BE102" s="27">
        <f t="shared" si="123"/>
        <v>0</v>
      </c>
      <c r="BF102" s="27">
        <f t="shared" si="123"/>
        <v>0</v>
      </c>
      <c r="BG102" s="27">
        <f t="shared" si="123"/>
        <v>0</v>
      </c>
      <c r="BH102" s="27">
        <f t="shared" si="123"/>
        <v>0</v>
      </c>
      <c r="BI102" s="27">
        <f t="shared" si="123"/>
        <v>0</v>
      </c>
      <c r="BJ102" s="27">
        <f t="shared" si="123"/>
        <v>0</v>
      </c>
      <c r="BK102" s="27">
        <f t="shared" si="123"/>
        <v>0</v>
      </c>
      <c r="BL102" s="27">
        <f t="shared" si="123"/>
        <v>0</v>
      </c>
      <c r="BM102" s="27">
        <f t="shared" si="123"/>
        <v>0</v>
      </c>
      <c r="BN102" s="27">
        <f t="shared" si="123"/>
        <v>0</v>
      </c>
      <c r="BO102" s="27">
        <f t="shared" si="123"/>
        <v>0</v>
      </c>
      <c r="BP102" s="27">
        <f t="shared" si="123"/>
        <v>181814898</v>
      </c>
      <c r="BQ102" s="27"/>
      <c r="BR102" s="27"/>
      <c r="BS102" s="27">
        <f t="shared" si="112"/>
        <v>0</v>
      </c>
      <c r="BT102" s="27">
        <f t="shared" si="124"/>
        <v>4725485</v>
      </c>
      <c r="BU102" s="29">
        <f t="shared" si="114"/>
        <v>0.41936507216083585</v>
      </c>
      <c r="BV102" s="27">
        <f t="shared" si="115"/>
        <v>136472082</v>
      </c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>
        <f>+'[1]JUNIO 2016'!$H$582-CP102</f>
        <v>132865602</v>
      </c>
      <c r="CM102" s="27"/>
      <c r="CN102" s="27"/>
      <c r="CO102" s="27"/>
      <c r="CP102" s="27">
        <f>+'[1]JUNIO 2016'!$AG$602+'[1]JUNIO 2016'!$H$603+'[1]JUNIO 2016'!$AG$611+'[1]JUNIO 2016'!$H$621</f>
        <v>3606480</v>
      </c>
      <c r="CQ102" s="29">
        <f t="shared" si="116"/>
        <v>0.58063492783916415</v>
      </c>
      <c r="CR102" s="27">
        <f t="shared" si="117"/>
        <v>188953403</v>
      </c>
      <c r="CS102" s="27">
        <f t="shared" si="118"/>
        <v>0</v>
      </c>
      <c r="CT102" s="27">
        <f t="shared" si="118"/>
        <v>0</v>
      </c>
      <c r="CU102" s="27">
        <f t="shared" si="118"/>
        <v>0</v>
      </c>
      <c r="CV102" s="27">
        <f t="shared" si="118"/>
        <v>0</v>
      </c>
      <c r="CW102" s="27">
        <f t="shared" si="118"/>
        <v>0</v>
      </c>
      <c r="CX102" s="27">
        <f t="shared" si="118"/>
        <v>0</v>
      </c>
      <c r="CY102" s="27">
        <f t="shared" si="118"/>
        <v>0</v>
      </c>
      <c r="CZ102" s="27">
        <f t="shared" si="125"/>
        <v>0</v>
      </c>
      <c r="DA102" s="27">
        <f t="shared" si="125"/>
        <v>0</v>
      </c>
      <c r="DB102" s="27">
        <f t="shared" si="118"/>
        <v>0</v>
      </c>
      <c r="DC102" s="27">
        <f t="shared" si="120"/>
        <v>0</v>
      </c>
      <c r="DD102" s="27">
        <f t="shared" si="120"/>
        <v>0</v>
      </c>
      <c r="DE102" s="27">
        <f t="shared" si="120"/>
        <v>0</v>
      </c>
      <c r="DF102" s="27">
        <f t="shared" si="126"/>
        <v>0</v>
      </c>
      <c r="DG102" s="27">
        <f t="shared" si="126"/>
        <v>0</v>
      </c>
      <c r="DH102" s="27">
        <f t="shared" si="126"/>
        <v>183134398</v>
      </c>
      <c r="DI102" s="27"/>
      <c r="DJ102" s="27">
        <f t="shared" si="127"/>
        <v>0</v>
      </c>
      <c r="DK102" s="27">
        <f t="shared" si="127"/>
        <v>0</v>
      </c>
      <c r="DL102" s="27">
        <f t="shared" si="127"/>
        <v>5819005</v>
      </c>
    </row>
    <row r="103" spans="1:117" ht="32.25" customHeight="1" x14ac:dyDescent="0.25">
      <c r="A103" s="246"/>
      <c r="B103" s="95" t="s">
        <v>284</v>
      </c>
      <c r="C103" s="75" t="s">
        <v>285</v>
      </c>
      <c r="D103" s="24" t="s">
        <v>286</v>
      </c>
      <c r="E103" s="25">
        <v>301</v>
      </c>
      <c r="F103" s="26" t="s">
        <v>287</v>
      </c>
      <c r="G103" s="27">
        <f t="shared" si="104"/>
        <v>72940000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>
        <v>67000000</v>
      </c>
      <c r="X103" s="27"/>
      <c r="Y103" s="27"/>
      <c r="Z103" s="27"/>
      <c r="AA103" s="27">
        <f>2000000+2682410+1000000+257590</f>
        <v>5940000</v>
      </c>
      <c r="AC103" s="29">
        <f t="shared" si="105"/>
        <v>0.26624622977789963</v>
      </c>
      <c r="AD103" s="27">
        <f t="shared" si="106"/>
        <v>19420000</v>
      </c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>
        <f>+'[1]JUNIO 2016'!$Z$626</f>
        <v>17580000</v>
      </c>
      <c r="AU103" s="27"/>
      <c r="AV103" s="27"/>
      <c r="AW103" s="27"/>
      <c r="AX103" s="27">
        <f>+'[1]JUNIO 2016'!$AG$626</f>
        <v>1840000</v>
      </c>
      <c r="AY103" s="29">
        <f t="shared" si="107"/>
        <v>0.73375377022210042</v>
      </c>
      <c r="AZ103" s="27">
        <f t="shared" si="108"/>
        <v>53520000</v>
      </c>
      <c r="BA103" s="27">
        <f t="shared" si="109"/>
        <v>0</v>
      </c>
      <c r="BB103" s="27">
        <f t="shared" si="110"/>
        <v>0</v>
      </c>
      <c r="BC103" s="27">
        <f t="shared" si="110"/>
        <v>0</v>
      </c>
      <c r="BD103" s="27">
        <f t="shared" si="110"/>
        <v>0</v>
      </c>
      <c r="BE103" s="27">
        <f t="shared" si="123"/>
        <v>0</v>
      </c>
      <c r="BF103" s="27">
        <f t="shared" si="123"/>
        <v>0</v>
      </c>
      <c r="BG103" s="27">
        <f t="shared" si="123"/>
        <v>0</v>
      </c>
      <c r="BH103" s="27">
        <f t="shared" si="123"/>
        <v>0</v>
      </c>
      <c r="BI103" s="27">
        <f t="shared" si="123"/>
        <v>0</v>
      </c>
      <c r="BJ103" s="27">
        <f t="shared" si="123"/>
        <v>0</v>
      </c>
      <c r="BK103" s="27">
        <f t="shared" si="123"/>
        <v>0</v>
      </c>
      <c r="BL103" s="27">
        <f t="shared" si="123"/>
        <v>0</v>
      </c>
      <c r="BM103" s="27">
        <f t="shared" si="123"/>
        <v>0</v>
      </c>
      <c r="BN103" s="27">
        <f t="shared" si="123"/>
        <v>0</v>
      </c>
      <c r="BO103" s="27">
        <f t="shared" si="123"/>
        <v>0</v>
      </c>
      <c r="BP103" s="27">
        <f t="shared" si="123"/>
        <v>49420000</v>
      </c>
      <c r="BQ103" s="27"/>
      <c r="BR103" s="27"/>
      <c r="BS103" s="27">
        <f t="shared" si="112"/>
        <v>0</v>
      </c>
      <c r="BT103" s="27">
        <f t="shared" si="124"/>
        <v>4100000</v>
      </c>
      <c r="BU103" s="29">
        <f t="shared" si="114"/>
        <v>0.26624622977789963</v>
      </c>
      <c r="BV103" s="27">
        <f t="shared" si="115"/>
        <v>19420000</v>
      </c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>
        <f>+'[1]JUNIO 2016'!$H$629</f>
        <v>17580000</v>
      </c>
      <c r="CM103" s="27"/>
      <c r="CN103" s="27"/>
      <c r="CO103" s="27"/>
      <c r="CP103" s="27">
        <f>+'[1]JUNIO 2016'!$H$627+'[1]JUNIO 2016'!$H$628+'[1]JUNIO 2016'!$H$631</f>
        <v>1840000</v>
      </c>
      <c r="CQ103" s="29">
        <f t="shared" si="116"/>
        <v>0.73375377022210042</v>
      </c>
      <c r="CR103" s="27">
        <f t="shared" si="117"/>
        <v>53520000</v>
      </c>
      <c r="CS103" s="27">
        <f t="shared" si="118"/>
        <v>0</v>
      </c>
      <c r="CT103" s="27">
        <f t="shared" si="118"/>
        <v>0</v>
      </c>
      <c r="CU103" s="27">
        <f t="shared" si="118"/>
        <v>0</v>
      </c>
      <c r="CV103" s="27">
        <f t="shared" si="118"/>
        <v>0</v>
      </c>
      <c r="CW103" s="27">
        <f t="shared" si="118"/>
        <v>0</v>
      </c>
      <c r="CX103" s="27">
        <f t="shared" si="118"/>
        <v>0</v>
      </c>
      <c r="CY103" s="27">
        <f t="shared" si="118"/>
        <v>0</v>
      </c>
      <c r="CZ103" s="27">
        <f t="shared" si="125"/>
        <v>0</v>
      </c>
      <c r="DA103" s="27">
        <f t="shared" si="125"/>
        <v>0</v>
      </c>
      <c r="DB103" s="27">
        <f t="shared" si="118"/>
        <v>0</v>
      </c>
      <c r="DC103" s="27">
        <f t="shared" si="120"/>
        <v>0</v>
      </c>
      <c r="DD103" s="27">
        <f t="shared" si="120"/>
        <v>0</v>
      </c>
      <c r="DE103" s="27">
        <f t="shared" si="120"/>
        <v>0</v>
      </c>
      <c r="DF103" s="27">
        <f t="shared" si="126"/>
        <v>0</v>
      </c>
      <c r="DG103" s="27">
        <f t="shared" si="126"/>
        <v>0</v>
      </c>
      <c r="DH103" s="27">
        <f t="shared" si="126"/>
        <v>49420000</v>
      </c>
      <c r="DI103" s="27"/>
      <c r="DJ103" s="27">
        <f t="shared" si="127"/>
        <v>0</v>
      </c>
      <c r="DK103" s="27">
        <f t="shared" si="127"/>
        <v>0</v>
      </c>
      <c r="DL103" s="27">
        <f t="shared" si="127"/>
        <v>4100000</v>
      </c>
    </row>
    <row r="104" spans="1:117" x14ac:dyDescent="0.25">
      <c r="A104" s="246"/>
      <c r="B104" s="229" t="s">
        <v>288</v>
      </c>
      <c r="C104" s="75" t="s">
        <v>289</v>
      </c>
      <c r="D104" s="24" t="s">
        <v>290</v>
      </c>
      <c r="E104" s="25">
        <v>301</v>
      </c>
      <c r="F104" s="26" t="s">
        <v>259</v>
      </c>
      <c r="G104" s="27">
        <f t="shared" si="104"/>
        <v>1272000000</v>
      </c>
      <c r="H104" s="27"/>
      <c r="I104" s="27">
        <v>200000000</v>
      </c>
      <c r="J104" s="27">
        <v>268168096</v>
      </c>
      <c r="K104" s="27"/>
      <c r="L104" s="27">
        <v>701280247</v>
      </c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>
        <v>102551657</v>
      </c>
      <c r="X104" s="27"/>
      <c r="Y104" s="27"/>
      <c r="Z104" s="27"/>
      <c r="AA104" s="27"/>
      <c r="AC104" s="29">
        <f t="shared" si="105"/>
        <v>1</v>
      </c>
      <c r="AD104" s="27">
        <f t="shared" si="106"/>
        <v>1272000000</v>
      </c>
      <c r="AE104" s="27"/>
      <c r="AF104" s="27">
        <f>+'[5]ENERO 2016'!$K$218</f>
        <v>200000000</v>
      </c>
      <c r="AG104" s="27">
        <f>+'[5]ENERO 2016'!$M$218</f>
        <v>268168096</v>
      </c>
      <c r="AH104" s="27"/>
      <c r="AI104" s="27">
        <f>+'[5]ENERO 2016'!$O$218</f>
        <v>701280247</v>
      </c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>
        <f>+'[5]ENERO 2016'!$Z$218</f>
        <v>102551657</v>
      </c>
      <c r="AU104" s="27"/>
      <c r="AV104" s="27"/>
      <c r="AW104" s="27"/>
      <c r="AX104" s="27"/>
      <c r="AY104" s="29">
        <f t="shared" si="107"/>
        <v>0</v>
      </c>
      <c r="AZ104" s="27">
        <f t="shared" si="108"/>
        <v>0</v>
      </c>
      <c r="BA104" s="27">
        <f t="shared" si="109"/>
        <v>0</v>
      </c>
      <c r="BB104" s="27">
        <f t="shared" si="110"/>
        <v>0</v>
      </c>
      <c r="BC104" s="27">
        <f t="shared" si="110"/>
        <v>0</v>
      </c>
      <c r="BD104" s="27">
        <f t="shared" si="110"/>
        <v>0</v>
      </c>
      <c r="BE104" s="27">
        <f t="shared" si="123"/>
        <v>0</v>
      </c>
      <c r="BF104" s="27">
        <f t="shared" si="123"/>
        <v>0</v>
      </c>
      <c r="BG104" s="27">
        <f t="shared" si="123"/>
        <v>0</v>
      </c>
      <c r="BH104" s="27">
        <f t="shared" si="123"/>
        <v>0</v>
      </c>
      <c r="BI104" s="27">
        <f t="shared" si="123"/>
        <v>0</v>
      </c>
      <c r="BJ104" s="27">
        <f t="shared" si="123"/>
        <v>0</v>
      </c>
      <c r="BK104" s="27">
        <f t="shared" si="123"/>
        <v>0</v>
      </c>
      <c r="BL104" s="27">
        <f t="shared" si="123"/>
        <v>0</v>
      </c>
      <c r="BM104" s="27">
        <f t="shared" si="123"/>
        <v>0</v>
      </c>
      <c r="BN104" s="27">
        <f t="shared" si="123"/>
        <v>0</v>
      </c>
      <c r="BO104" s="27">
        <f t="shared" si="123"/>
        <v>0</v>
      </c>
      <c r="BP104" s="27">
        <f t="shared" si="123"/>
        <v>0</v>
      </c>
      <c r="BQ104" s="27"/>
      <c r="BR104" s="27"/>
      <c r="BS104" s="27">
        <f t="shared" si="112"/>
        <v>0</v>
      </c>
      <c r="BT104" s="27">
        <f t="shared" si="124"/>
        <v>0</v>
      </c>
      <c r="BU104" s="29">
        <f t="shared" si="114"/>
        <v>0.99403155896226414</v>
      </c>
      <c r="BV104" s="27">
        <f t="shared" si="115"/>
        <v>1264408143</v>
      </c>
      <c r="BW104" s="27"/>
      <c r="BX104" s="27">
        <f>+'[4]ABRIL 2016'!$H$457</f>
        <v>192408143</v>
      </c>
      <c r="BY104" s="27">
        <v>268168096</v>
      </c>
      <c r="BZ104" s="27"/>
      <c r="CA104" s="27">
        <v>701280247</v>
      </c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>
        <v>102551657</v>
      </c>
      <c r="CM104" s="27"/>
      <c r="CN104" s="27"/>
      <c r="CO104" s="27"/>
      <c r="CP104" s="27"/>
      <c r="CQ104" s="29">
        <f t="shared" si="116"/>
        <v>5.968441037735861E-3</v>
      </c>
      <c r="CR104" s="27">
        <f t="shared" si="117"/>
        <v>7591857</v>
      </c>
      <c r="CS104" s="27">
        <f t="shared" si="118"/>
        <v>0</v>
      </c>
      <c r="CT104" s="27">
        <f t="shared" si="118"/>
        <v>7591857</v>
      </c>
      <c r="CU104" s="27">
        <f t="shared" si="118"/>
        <v>0</v>
      </c>
      <c r="CV104" s="27">
        <f t="shared" si="118"/>
        <v>0</v>
      </c>
      <c r="CW104" s="27">
        <f t="shared" si="118"/>
        <v>0</v>
      </c>
      <c r="CX104" s="27">
        <f t="shared" si="118"/>
        <v>0</v>
      </c>
      <c r="CY104" s="27">
        <f t="shared" si="118"/>
        <v>0</v>
      </c>
      <c r="CZ104" s="27">
        <f t="shared" si="125"/>
        <v>0</v>
      </c>
      <c r="DA104" s="27">
        <f t="shared" si="125"/>
        <v>0</v>
      </c>
      <c r="DB104" s="27">
        <f t="shared" si="118"/>
        <v>0</v>
      </c>
      <c r="DC104" s="27">
        <f t="shared" si="120"/>
        <v>0</v>
      </c>
      <c r="DD104" s="27">
        <f t="shared" si="120"/>
        <v>0</v>
      </c>
      <c r="DE104" s="27">
        <f t="shared" si="120"/>
        <v>0</v>
      </c>
      <c r="DF104" s="27">
        <f t="shared" si="126"/>
        <v>0</v>
      </c>
      <c r="DG104" s="27">
        <f t="shared" si="126"/>
        <v>0</v>
      </c>
      <c r="DH104" s="27">
        <f t="shared" si="126"/>
        <v>0</v>
      </c>
      <c r="DI104" s="27"/>
      <c r="DJ104" s="27">
        <f t="shared" si="127"/>
        <v>0</v>
      </c>
      <c r="DK104" s="27">
        <f t="shared" si="127"/>
        <v>0</v>
      </c>
      <c r="DL104" s="27">
        <f t="shared" si="127"/>
        <v>0</v>
      </c>
    </row>
    <row r="105" spans="1:117" ht="19.5" customHeight="1" x14ac:dyDescent="0.25">
      <c r="A105" s="246"/>
      <c r="B105" s="230"/>
      <c r="C105" s="75" t="s">
        <v>291</v>
      </c>
      <c r="D105" s="24" t="s">
        <v>292</v>
      </c>
      <c r="E105" s="25">
        <v>301</v>
      </c>
      <c r="F105" s="26" t="s">
        <v>259</v>
      </c>
      <c r="G105" s="27">
        <f t="shared" si="104"/>
        <v>20000000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>
        <v>20000000</v>
      </c>
      <c r="X105" s="27"/>
      <c r="Y105" s="27"/>
      <c r="Z105" s="27"/>
      <c r="AA105" s="27"/>
      <c r="AC105" s="29">
        <f t="shared" si="105"/>
        <v>1</v>
      </c>
      <c r="AD105" s="27">
        <f t="shared" si="106"/>
        <v>20000000</v>
      </c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>
        <f>+'[5]ENERO 2016'!$Z$227</f>
        <v>20000000</v>
      </c>
      <c r="AU105" s="27"/>
      <c r="AV105" s="27"/>
      <c r="AW105" s="27"/>
      <c r="AX105" s="27"/>
      <c r="AY105" s="29">
        <f t="shared" si="107"/>
        <v>0</v>
      </c>
      <c r="AZ105" s="27">
        <f t="shared" si="108"/>
        <v>0</v>
      </c>
      <c r="BA105" s="27">
        <f t="shared" si="109"/>
        <v>0</v>
      </c>
      <c r="BB105" s="27">
        <f t="shared" si="110"/>
        <v>0</v>
      </c>
      <c r="BC105" s="27">
        <f t="shared" si="110"/>
        <v>0</v>
      </c>
      <c r="BD105" s="27">
        <f t="shared" si="110"/>
        <v>0</v>
      </c>
      <c r="BE105" s="27">
        <f t="shared" si="123"/>
        <v>0</v>
      </c>
      <c r="BF105" s="27">
        <f t="shared" si="123"/>
        <v>0</v>
      </c>
      <c r="BG105" s="27">
        <f t="shared" si="123"/>
        <v>0</v>
      </c>
      <c r="BH105" s="27">
        <f t="shared" si="123"/>
        <v>0</v>
      </c>
      <c r="BI105" s="27">
        <f t="shared" si="123"/>
        <v>0</v>
      </c>
      <c r="BJ105" s="27">
        <f t="shared" si="123"/>
        <v>0</v>
      </c>
      <c r="BK105" s="27">
        <f t="shared" si="123"/>
        <v>0</v>
      </c>
      <c r="BL105" s="27">
        <f t="shared" si="123"/>
        <v>0</v>
      </c>
      <c r="BM105" s="27">
        <f t="shared" si="123"/>
        <v>0</v>
      </c>
      <c r="BN105" s="27">
        <f t="shared" si="123"/>
        <v>0</v>
      </c>
      <c r="BO105" s="27">
        <f t="shared" si="123"/>
        <v>0</v>
      </c>
      <c r="BP105" s="27">
        <f t="shared" si="123"/>
        <v>0</v>
      </c>
      <c r="BQ105" s="27"/>
      <c r="BR105" s="27"/>
      <c r="BS105" s="27">
        <f t="shared" si="112"/>
        <v>0</v>
      </c>
      <c r="BT105" s="27">
        <f t="shared" si="124"/>
        <v>0</v>
      </c>
      <c r="BU105" s="29">
        <f t="shared" si="114"/>
        <v>0.57433619999999996</v>
      </c>
      <c r="BV105" s="27">
        <f t="shared" si="115"/>
        <v>11486724</v>
      </c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>
        <f>+'[4]ABRIL 2016'!$H$474</f>
        <v>11486724</v>
      </c>
      <c r="CM105" s="27"/>
      <c r="CN105" s="27"/>
      <c r="CO105" s="27"/>
      <c r="CP105" s="27"/>
      <c r="CQ105" s="29">
        <f t="shared" si="116"/>
        <v>0.42566380000000004</v>
      </c>
      <c r="CR105" s="27">
        <f t="shared" si="117"/>
        <v>8513276</v>
      </c>
      <c r="CS105" s="27">
        <f t="shared" si="118"/>
        <v>0</v>
      </c>
      <c r="CT105" s="27">
        <f t="shared" si="118"/>
        <v>0</v>
      </c>
      <c r="CU105" s="27">
        <f t="shared" si="118"/>
        <v>0</v>
      </c>
      <c r="CV105" s="27">
        <f t="shared" si="118"/>
        <v>0</v>
      </c>
      <c r="CW105" s="27">
        <f t="shared" si="118"/>
        <v>0</v>
      </c>
      <c r="CX105" s="27">
        <f t="shared" si="118"/>
        <v>0</v>
      </c>
      <c r="CY105" s="27">
        <f t="shared" si="118"/>
        <v>0</v>
      </c>
      <c r="CZ105" s="27">
        <f t="shared" si="125"/>
        <v>0</v>
      </c>
      <c r="DA105" s="27">
        <f t="shared" si="125"/>
        <v>0</v>
      </c>
      <c r="DB105" s="27">
        <f t="shared" si="118"/>
        <v>0</v>
      </c>
      <c r="DC105" s="27">
        <f t="shared" si="120"/>
        <v>0</v>
      </c>
      <c r="DD105" s="27">
        <f t="shared" si="120"/>
        <v>0</v>
      </c>
      <c r="DE105" s="27">
        <f t="shared" si="120"/>
        <v>0</v>
      </c>
      <c r="DF105" s="27">
        <f t="shared" si="126"/>
        <v>0</v>
      </c>
      <c r="DG105" s="27">
        <f t="shared" si="126"/>
        <v>0</v>
      </c>
      <c r="DH105" s="27">
        <f t="shared" si="126"/>
        <v>8513276</v>
      </c>
      <c r="DI105" s="27"/>
      <c r="DJ105" s="27">
        <f t="shared" si="127"/>
        <v>0</v>
      </c>
      <c r="DK105" s="27">
        <f t="shared" si="127"/>
        <v>0</v>
      </c>
      <c r="DL105" s="27">
        <f t="shared" si="127"/>
        <v>0</v>
      </c>
    </row>
    <row r="106" spans="1:117" ht="23.25" customHeight="1" x14ac:dyDescent="0.25">
      <c r="A106" s="246"/>
      <c r="B106" s="231"/>
      <c r="C106" s="75" t="s">
        <v>293</v>
      </c>
      <c r="D106" s="24" t="s">
        <v>294</v>
      </c>
      <c r="E106" s="96">
        <v>301</v>
      </c>
      <c r="F106" s="26" t="s">
        <v>259</v>
      </c>
      <c r="G106" s="27">
        <f t="shared" si="104"/>
        <v>100000000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>
        <v>100000000</v>
      </c>
      <c r="X106" s="27"/>
      <c r="Y106" s="27"/>
      <c r="Z106" s="27"/>
      <c r="AA106" s="27"/>
      <c r="AC106" s="29">
        <f t="shared" si="105"/>
        <v>1</v>
      </c>
      <c r="AD106" s="27">
        <f t="shared" si="106"/>
        <v>100000000</v>
      </c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>
        <f>+'[4]ABRIL 2016'!$Z$480</f>
        <v>100000000</v>
      </c>
      <c r="AU106" s="27"/>
      <c r="AV106" s="27"/>
      <c r="AW106" s="27"/>
      <c r="AX106" s="27"/>
      <c r="AY106" s="29">
        <f t="shared" si="107"/>
        <v>0</v>
      </c>
      <c r="AZ106" s="27">
        <f t="shared" si="108"/>
        <v>0</v>
      </c>
      <c r="BA106" s="27">
        <f t="shared" si="109"/>
        <v>0</v>
      </c>
      <c r="BB106" s="27">
        <f t="shared" si="110"/>
        <v>0</v>
      </c>
      <c r="BC106" s="27">
        <f t="shared" si="110"/>
        <v>0</v>
      </c>
      <c r="BD106" s="27">
        <f t="shared" si="110"/>
        <v>0</v>
      </c>
      <c r="BE106" s="27">
        <f t="shared" si="123"/>
        <v>0</v>
      </c>
      <c r="BF106" s="27">
        <f t="shared" si="123"/>
        <v>0</v>
      </c>
      <c r="BG106" s="27">
        <f t="shared" si="123"/>
        <v>0</v>
      </c>
      <c r="BH106" s="27">
        <f t="shared" si="123"/>
        <v>0</v>
      </c>
      <c r="BI106" s="27">
        <f t="shared" si="123"/>
        <v>0</v>
      </c>
      <c r="BJ106" s="27">
        <f t="shared" si="123"/>
        <v>0</v>
      </c>
      <c r="BK106" s="27">
        <f t="shared" si="123"/>
        <v>0</v>
      </c>
      <c r="BL106" s="27">
        <f t="shared" si="123"/>
        <v>0</v>
      </c>
      <c r="BM106" s="27">
        <f t="shared" si="123"/>
        <v>0</v>
      </c>
      <c r="BN106" s="27">
        <f t="shared" si="123"/>
        <v>0</v>
      </c>
      <c r="BO106" s="27">
        <f t="shared" si="123"/>
        <v>0</v>
      </c>
      <c r="BP106" s="27">
        <f t="shared" si="123"/>
        <v>0</v>
      </c>
      <c r="BQ106" s="27"/>
      <c r="BR106" s="27"/>
      <c r="BS106" s="27">
        <f t="shared" si="112"/>
        <v>0</v>
      </c>
      <c r="BT106" s="27">
        <f t="shared" si="124"/>
        <v>0</v>
      </c>
      <c r="BU106" s="29">
        <f t="shared" si="114"/>
        <v>0.84458115</v>
      </c>
      <c r="BV106" s="27">
        <f t="shared" si="115"/>
        <v>84458115</v>
      </c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>
        <f>+'[1]JUNIO 2016'!$H$658</f>
        <v>84458115</v>
      </c>
      <c r="CM106" s="27"/>
      <c r="CN106" s="27"/>
      <c r="CO106" s="27"/>
      <c r="CP106" s="27"/>
      <c r="CQ106" s="29">
        <f t="shared" si="116"/>
        <v>0.15541885</v>
      </c>
      <c r="CR106" s="27">
        <f t="shared" si="117"/>
        <v>15541885</v>
      </c>
      <c r="CS106" s="27">
        <f t="shared" si="118"/>
        <v>0</v>
      </c>
      <c r="CT106" s="27">
        <f t="shared" si="118"/>
        <v>0</v>
      </c>
      <c r="CU106" s="27">
        <f t="shared" si="118"/>
        <v>0</v>
      </c>
      <c r="CV106" s="27">
        <f t="shared" si="118"/>
        <v>0</v>
      </c>
      <c r="CW106" s="27">
        <f t="shared" si="118"/>
        <v>0</v>
      </c>
      <c r="CX106" s="27">
        <f t="shared" si="118"/>
        <v>0</v>
      </c>
      <c r="CY106" s="27">
        <f t="shared" si="118"/>
        <v>0</v>
      </c>
      <c r="CZ106" s="27">
        <f t="shared" si="125"/>
        <v>0</v>
      </c>
      <c r="DA106" s="27">
        <f t="shared" si="125"/>
        <v>0</v>
      </c>
      <c r="DB106" s="27">
        <f t="shared" si="118"/>
        <v>0</v>
      </c>
      <c r="DC106" s="27">
        <f t="shared" si="120"/>
        <v>0</v>
      </c>
      <c r="DD106" s="27">
        <f t="shared" si="120"/>
        <v>0</v>
      </c>
      <c r="DE106" s="27">
        <f t="shared" si="120"/>
        <v>0</v>
      </c>
      <c r="DF106" s="27">
        <f t="shared" si="126"/>
        <v>0</v>
      </c>
      <c r="DG106" s="27">
        <f t="shared" si="126"/>
        <v>0</v>
      </c>
      <c r="DH106" s="27">
        <f t="shared" si="126"/>
        <v>15541885</v>
      </c>
      <c r="DI106" s="27"/>
      <c r="DJ106" s="27">
        <f t="shared" si="127"/>
        <v>0</v>
      </c>
      <c r="DK106" s="27">
        <f t="shared" si="127"/>
        <v>0</v>
      </c>
      <c r="DL106" s="27">
        <f t="shared" si="127"/>
        <v>0</v>
      </c>
    </row>
    <row r="107" spans="1:117" ht="18" customHeight="1" x14ac:dyDescent="0.25">
      <c r="A107" s="246"/>
      <c r="B107" s="95" t="s">
        <v>295</v>
      </c>
      <c r="C107" s="75" t="s">
        <v>296</v>
      </c>
      <c r="D107" s="24" t="s">
        <v>297</v>
      </c>
      <c r="E107" s="96">
        <v>301</v>
      </c>
      <c r="F107" s="26" t="s">
        <v>259</v>
      </c>
      <c r="G107" s="27">
        <f t="shared" si="104"/>
        <v>50000000</v>
      </c>
      <c r="H107" s="27"/>
      <c r="I107" s="27"/>
      <c r="J107" s="27">
        <f>50000000-50000000</f>
        <v>0</v>
      </c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>
        <f>21264791+28735209</f>
        <v>50000000</v>
      </c>
      <c r="W107" s="27"/>
      <c r="X107" s="27"/>
      <c r="Y107" s="27"/>
      <c r="Z107" s="27"/>
      <c r="AA107" s="27"/>
      <c r="AC107" s="29">
        <f t="shared" si="105"/>
        <v>0.60117946</v>
      </c>
      <c r="AD107" s="27">
        <f t="shared" si="106"/>
        <v>30058973</v>
      </c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>
        <f>+'[3]MAYO 2016'!$Y$601</f>
        <v>30058973</v>
      </c>
      <c r="AT107" s="27"/>
      <c r="AU107" s="27"/>
      <c r="AV107" s="27"/>
      <c r="AW107" s="27"/>
      <c r="AX107" s="27"/>
      <c r="AY107" s="29">
        <f t="shared" si="107"/>
        <v>0.39882054</v>
      </c>
      <c r="AZ107" s="27">
        <f t="shared" si="108"/>
        <v>19941027</v>
      </c>
      <c r="BA107" s="27">
        <f t="shared" si="109"/>
        <v>0</v>
      </c>
      <c r="BB107" s="27">
        <f t="shared" si="110"/>
        <v>0</v>
      </c>
      <c r="BC107" s="27">
        <f t="shared" si="110"/>
        <v>0</v>
      </c>
      <c r="BD107" s="27">
        <f t="shared" si="110"/>
        <v>0</v>
      </c>
      <c r="BE107" s="27">
        <f t="shared" si="123"/>
        <v>0</v>
      </c>
      <c r="BF107" s="27">
        <f t="shared" si="123"/>
        <v>0</v>
      </c>
      <c r="BG107" s="27">
        <f t="shared" si="123"/>
        <v>0</v>
      </c>
      <c r="BH107" s="27">
        <f t="shared" si="123"/>
        <v>0</v>
      </c>
      <c r="BI107" s="27">
        <f t="shared" si="123"/>
        <v>0</v>
      </c>
      <c r="BJ107" s="27">
        <f t="shared" si="123"/>
        <v>0</v>
      </c>
      <c r="BK107" s="27">
        <f t="shared" si="123"/>
        <v>0</v>
      </c>
      <c r="BL107" s="27">
        <f t="shared" si="123"/>
        <v>0</v>
      </c>
      <c r="BM107" s="27">
        <f t="shared" si="123"/>
        <v>0</v>
      </c>
      <c r="BN107" s="27">
        <f t="shared" si="123"/>
        <v>0</v>
      </c>
      <c r="BO107" s="27">
        <f t="shared" si="123"/>
        <v>19941027</v>
      </c>
      <c r="BP107" s="27">
        <f t="shared" si="123"/>
        <v>0</v>
      </c>
      <c r="BQ107" s="27"/>
      <c r="BR107" s="27"/>
      <c r="BS107" s="27">
        <f t="shared" si="112"/>
        <v>0</v>
      </c>
      <c r="BT107" s="27">
        <f t="shared" si="124"/>
        <v>0</v>
      </c>
      <c r="BU107" s="29">
        <f t="shared" si="114"/>
        <v>0.60117946</v>
      </c>
      <c r="BV107" s="27">
        <f t="shared" si="115"/>
        <v>30058973</v>
      </c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>
        <f>+'[3]MAYO 2016'!$H$599</f>
        <v>30058973</v>
      </c>
      <c r="CL107" s="27"/>
      <c r="CM107" s="27"/>
      <c r="CN107" s="27"/>
      <c r="CO107" s="27"/>
      <c r="CP107" s="27"/>
      <c r="CQ107" s="29">
        <f t="shared" si="116"/>
        <v>0.39882054</v>
      </c>
      <c r="CR107" s="27">
        <f t="shared" si="117"/>
        <v>19941027</v>
      </c>
      <c r="CS107" s="27">
        <f t="shared" si="118"/>
        <v>0</v>
      </c>
      <c r="CT107" s="27">
        <f t="shared" si="118"/>
        <v>0</v>
      </c>
      <c r="CU107" s="27">
        <f t="shared" si="118"/>
        <v>0</v>
      </c>
      <c r="CV107" s="27">
        <f t="shared" si="118"/>
        <v>0</v>
      </c>
      <c r="CW107" s="27">
        <f t="shared" si="118"/>
        <v>0</v>
      </c>
      <c r="CX107" s="27">
        <f t="shared" si="118"/>
        <v>0</v>
      </c>
      <c r="CY107" s="27">
        <f t="shared" si="118"/>
        <v>0</v>
      </c>
      <c r="CZ107" s="27">
        <f t="shared" si="125"/>
        <v>0</v>
      </c>
      <c r="DA107" s="27">
        <f t="shared" si="125"/>
        <v>0</v>
      </c>
      <c r="DB107" s="27">
        <f t="shared" si="118"/>
        <v>0</v>
      </c>
      <c r="DC107" s="27">
        <f t="shared" si="120"/>
        <v>0</v>
      </c>
      <c r="DD107" s="27">
        <f t="shared" si="120"/>
        <v>0</v>
      </c>
      <c r="DE107" s="27">
        <f t="shared" si="120"/>
        <v>0</v>
      </c>
      <c r="DF107" s="27">
        <f t="shared" si="126"/>
        <v>0</v>
      </c>
      <c r="DG107" s="27">
        <f t="shared" si="126"/>
        <v>19941027</v>
      </c>
      <c r="DH107" s="27">
        <f t="shared" si="126"/>
        <v>0</v>
      </c>
      <c r="DI107" s="27"/>
      <c r="DJ107" s="27">
        <f t="shared" si="127"/>
        <v>0</v>
      </c>
      <c r="DK107" s="27">
        <f t="shared" si="127"/>
        <v>0</v>
      </c>
      <c r="DL107" s="27">
        <f t="shared" si="127"/>
        <v>0</v>
      </c>
    </row>
    <row r="108" spans="1:117" s="50" customFormat="1" ht="21" customHeight="1" thickBot="1" x14ac:dyDescent="0.3">
      <c r="A108" s="79"/>
      <c r="B108" s="247" t="s">
        <v>298</v>
      </c>
      <c r="C108" s="248"/>
      <c r="D108" s="248"/>
      <c r="E108" s="248"/>
      <c r="F108" s="249"/>
      <c r="G108" s="68">
        <f t="shared" ref="G108:AA108" si="128">SUM(G93:G107)</f>
        <v>2524365485</v>
      </c>
      <c r="H108" s="68">
        <f t="shared" si="128"/>
        <v>0</v>
      </c>
      <c r="I108" s="68">
        <f t="shared" si="128"/>
        <v>200000000</v>
      </c>
      <c r="J108" s="68">
        <f t="shared" si="128"/>
        <v>268168096</v>
      </c>
      <c r="K108" s="68">
        <f t="shared" si="128"/>
        <v>0</v>
      </c>
      <c r="L108" s="68">
        <f t="shared" si="128"/>
        <v>701280247</v>
      </c>
      <c r="M108" s="68">
        <f t="shared" si="128"/>
        <v>0</v>
      </c>
      <c r="N108" s="68">
        <f t="shared" si="128"/>
        <v>0</v>
      </c>
      <c r="O108" s="68">
        <f t="shared" si="128"/>
        <v>0</v>
      </c>
      <c r="P108" s="68">
        <f t="shared" si="128"/>
        <v>0</v>
      </c>
      <c r="Q108" s="68">
        <f t="shared" si="128"/>
        <v>0</v>
      </c>
      <c r="R108" s="68">
        <f t="shared" si="128"/>
        <v>0</v>
      </c>
      <c r="S108" s="68">
        <f t="shared" si="128"/>
        <v>0</v>
      </c>
      <c r="T108" s="68">
        <f t="shared" si="128"/>
        <v>0</v>
      </c>
      <c r="U108" s="68">
        <f t="shared" si="128"/>
        <v>0</v>
      </c>
      <c r="V108" s="68">
        <f t="shared" si="128"/>
        <v>50000000</v>
      </c>
      <c r="W108" s="68">
        <f t="shared" si="128"/>
        <v>1262551657</v>
      </c>
      <c r="X108" s="68">
        <f t="shared" si="128"/>
        <v>0</v>
      </c>
      <c r="Y108" s="68">
        <f t="shared" si="128"/>
        <v>0</v>
      </c>
      <c r="Z108" s="68">
        <f t="shared" si="128"/>
        <v>0</v>
      </c>
      <c r="AA108" s="68">
        <f t="shared" si="128"/>
        <v>42365485</v>
      </c>
      <c r="AC108" s="46">
        <f t="shared" si="105"/>
        <v>0.80858012483877706</v>
      </c>
      <c r="AD108" s="68">
        <f>SUM(AD93:AD107)</f>
        <v>2041151759</v>
      </c>
      <c r="AE108" s="68"/>
      <c r="AF108" s="68">
        <f t="shared" ref="AF108:AX108" si="129">SUM(AF93:AF107)</f>
        <v>200000000</v>
      </c>
      <c r="AG108" s="68">
        <f t="shared" si="129"/>
        <v>268168096</v>
      </c>
      <c r="AH108" s="68">
        <f t="shared" si="129"/>
        <v>0</v>
      </c>
      <c r="AI108" s="68">
        <f t="shared" si="129"/>
        <v>701280247</v>
      </c>
      <c r="AJ108" s="68">
        <f t="shared" si="129"/>
        <v>0</v>
      </c>
      <c r="AK108" s="68">
        <f t="shared" si="129"/>
        <v>0</v>
      </c>
      <c r="AL108" s="68">
        <f t="shared" si="129"/>
        <v>0</v>
      </c>
      <c r="AM108" s="68">
        <f t="shared" si="129"/>
        <v>0</v>
      </c>
      <c r="AN108" s="68">
        <f t="shared" si="129"/>
        <v>0</v>
      </c>
      <c r="AO108" s="68">
        <f t="shared" si="129"/>
        <v>0</v>
      </c>
      <c r="AP108" s="68">
        <f t="shared" si="129"/>
        <v>0</v>
      </c>
      <c r="AQ108" s="68">
        <f t="shared" si="129"/>
        <v>0</v>
      </c>
      <c r="AR108" s="68">
        <f t="shared" si="129"/>
        <v>0</v>
      </c>
      <c r="AS108" s="68">
        <f t="shared" si="129"/>
        <v>30058973</v>
      </c>
      <c r="AT108" s="68">
        <f t="shared" si="129"/>
        <v>822749581</v>
      </c>
      <c r="AU108" s="68">
        <f t="shared" si="129"/>
        <v>0</v>
      </c>
      <c r="AV108" s="68">
        <f t="shared" si="129"/>
        <v>0</v>
      </c>
      <c r="AW108" s="68">
        <f t="shared" si="129"/>
        <v>0</v>
      </c>
      <c r="AX108" s="68">
        <f t="shared" si="129"/>
        <v>18894862</v>
      </c>
      <c r="AY108" s="46">
        <f t="shared" si="107"/>
        <v>0.19141987516122294</v>
      </c>
      <c r="AZ108" s="68">
        <f>SUM(AZ93:AZ107)</f>
        <v>483213726</v>
      </c>
      <c r="BA108" s="68"/>
      <c r="BB108" s="68">
        <f t="shared" ref="BB108:BT108" si="130">SUM(BB93:BB107)</f>
        <v>0</v>
      </c>
      <c r="BC108" s="68">
        <f t="shared" si="130"/>
        <v>0</v>
      </c>
      <c r="BD108" s="68">
        <f t="shared" si="130"/>
        <v>0</v>
      </c>
      <c r="BE108" s="68">
        <f t="shared" si="130"/>
        <v>0</v>
      </c>
      <c r="BF108" s="68">
        <f t="shared" si="130"/>
        <v>0</v>
      </c>
      <c r="BG108" s="68">
        <f t="shared" si="130"/>
        <v>0</v>
      </c>
      <c r="BH108" s="68">
        <f t="shared" si="130"/>
        <v>0</v>
      </c>
      <c r="BI108" s="68">
        <f t="shared" si="130"/>
        <v>0</v>
      </c>
      <c r="BJ108" s="68">
        <f t="shared" si="130"/>
        <v>0</v>
      </c>
      <c r="BK108" s="68">
        <f t="shared" si="130"/>
        <v>0</v>
      </c>
      <c r="BL108" s="68">
        <f t="shared" si="130"/>
        <v>0</v>
      </c>
      <c r="BM108" s="68">
        <f t="shared" si="130"/>
        <v>0</v>
      </c>
      <c r="BN108" s="68">
        <f t="shared" si="130"/>
        <v>0</v>
      </c>
      <c r="BO108" s="68">
        <f t="shared" si="130"/>
        <v>19941027</v>
      </c>
      <c r="BP108" s="68">
        <f t="shared" si="130"/>
        <v>439802076</v>
      </c>
      <c r="BQ108" s="68">
        <f t="shared" si="130"/>
        <v>0</v>
      </c>
      <c r="BR108" s="68">
        <f t="shared" si="130"/>
        <v>0</v>
      </c>
      <c r="BS108" s="68">
        <f t="shared" si="130"/>
        <v>0</v>
      </c>
      <c r="BT108" s="68">
        <f t="shared" si="130"/>
        <v>23470623</v>
      </c>
      <c r="BU108" s="46">
        <f t="shared" si="114"/>
        <v>0.76553122655295691</v>
      </c>
      <c r="BV108" s="68">
        <f>SUM(BV93:BV107)</f>
        <v>1932480606</v>
      </c>
      <c r="BW108" s="68">
        <f>SUM(BW93:BW107)</f>
        <v>0</v>
      </c>
      <c r="BX108" s="68">
        <f>SUM(BX93:BX107)</f>
        <v>192408143</v>
      </c>
      <c r="BY108" s="68">
        <f>SUM(BY93:BY107)</f>
        <v>268168096</v>
      </c>
      <c r="BZ108" s="68"/>
      <c r="CA108" s="68">
        <f>SUM(CA93:CA107)</f>
        <v>701280247</v>
      </c>
      <c r="CB108" s="68">
        <f>SUM(CB93:CB107)</f>
        <v>0</v>
      </c>
      <c r="CC108" s="68"/>
      <c r="CD108" s="68">
        <f t="shared" ref="CD108:CL108" si="131">SUM(CD93:CD107)</f>
        <v>0</v>
      </c>
      <c r="CE108" s="68">
        <f t="shared" si="131"/>
        <v>0</v>
      </c>
      <c r="CF108" s="68">
        <f t="shared" si="131"/>
        <v>0</v>
      </c>
      <c r="CG108" s="68">
        <f t="shared" si="131"/>
        <v>0</v>
      </c>
      <c r="CH108" s="68">
        <f t="shared" si="131"/>
        <v>0</v>
      </c>
      <c r="CI108" s="68">
        <f t="shared" si="131"/>
        <v>0</v>
      </c>
      <c r="CJ108" s="68">
        <f t="shared" si="131"/>
        <v>0</v>
      </c>
      <c r="CK108" s="68">
        <f t="shared" si="131"/>
        <v>30058973</v>
      </c>
      <c r="CL108" s="68">
        <f t="shared" si="131"/>
        <v>723539805</v>
      </c>
      <c r="CM108" s="68"/>
      <c r="CN108" s="68">
        <f>SUM(CN93:CN107)</f>
        <v>0</v>
      </c>
      <c r="CO108" s="68">
        <f>SUM(CO93:CO107)</f>
        <v>0</v>
      </c>
      <c r="CP108" s="68">
        <f>SUM(CP93:CP107)</f>
        <v>17025342</v>
      </c>
      <c r="CQ108" s="46">
        <f t="shared" si="116"/>
        <v>0.23446877344704309</v>
      </c>
      <c r="CR108" s="68">
        <f t="shared" ref="CR108:DL108" si="132">SUM(CR93:CR107)</f>
        <v>591884879</v>
      </c>
      <c r="CS108" s="68">
        <f t="shared" si="132"/>
        <v>0</v>
      </c>
      <c r="CT108" s="68">
        <f t="shared" si="132"/>
        <v>7591857</v>
      </c>
      <c r="CU108" s="68">
        <f t="shared" si="132"/>
        <v>0</v>
      </c>
      <c r="CV108" s="68">
        <f t="shared" si="132"/>
        <v>0</v>
      </c>
      <c r="CW108" s="68">
        <f t="shared" si="132"/>
        <v>0</v>
      </c>
      <c r="CX108" s="68">
        <f t="shared" si="132"/>
        <v>0</v>
      </c>
      <c r="CY108" s="68">
        <f t="shared" si="132"/>
        <v>0</v>
      </c>
      <c r="CZ108" s="68">
        <f t="shared" si="132"/>
        <v>0</v>
      </c>
      <c r="DA108" s="68">
        <f t="shared" si="132"/>
        <v>0</v>
      </c>
      <c r="DB108" s="68">
        <f t="shared" si="132"/>
        <v>0</v>
      </c>
      <c r="DC108" s="68">
        <f t="shared" si="132"/>
        <v>0</v>
      </c>
      <c r="DD108" s="68">
        <f t="shared" si="132"/>
        <v>0</v>
      </c>
      <c r="DE108" s="68">
        <f t="shared" si="132"/>
        <v>0</v>
      </c>
      <c r="DF108" s="68">
        <f t="shared" si="132"/>
        <v>0</v>
      </c>
      <c r="DG108" s="68">
        <f t="shared" si="132"/>
        <v>19941027</v>
      </c>
      <c r="DH108" s="68">
        <f t="shared" si="132"/>
        <v>539011852</v>
      </c>
      <c r="DI108" s="68">
        <f t="shared" si="132"/>
        <v>0</v>
      </c>
      <c r="DJ108" s="68">
        <f t="shared" si="132"/>
        <v>0</v>
      </c>
      <c r="DK108" s="68">
        <f t="shared" si="132"/>
        <v>0</v>
      </c>
      <c r="DL108" s="97">
        <f t="shared" si="132"/>
        <v>25340143</v>
      </c>
    </row>
    <row r="109" spans="1:117" ht="51" customHeight="1" thickTop="1" x14ac:dyDescent="0.25">
      <c r="A109" s="239" t="s">
        <v>299</v>
      </c>
      <c r="B109" s="235" t="s">
        <v>300</v>
      </c>
      <c r="C109" s="75" t="s">
        <v>301</v>
      </c>
      <c r="D109" s="24" t="s">
        <v>302</v>
      </c>
      <c r="E109" s="98">
        <v>111</v>
      </c>
      <c r="F109" s="26" t="s">
        <v>303</v>
      </c>
      <c r="G109" s="27">
        <f>SUM(H109:AA109)</f>
        <v>2847721350</v>
      </c>
      <c r="H109" s="27"/>
      <c r="I109" s="27"/>
      <c r="J109" s="27">
        <f>2264025000</f>
        <v>2264025000</v>
      </c>
      <c r="K109" s="27">
        <f>72450095</f>
        <v>72450095</v>
      </c>
      <c r="L109" s="27"/>
      <c r="M109" s="27"/>
      <c r="N109" s="27">
        <f>54387</f>
        <v>54387</v>
      </c>
      <c r="O109" s="27">
        <f>30665828</f>
        <v>30665828</v>
      </c>
      <c r="P109" s="27">
        <f>1940856</f>
        <v>1940856</v>
      </c>
      <c r="Q109" s="27"/>
      <c r="R109" s="61">
        <f>60000000+100000000</f>
        <v>160000000</v>
      </c>
      <c r="S109" s="27"/>
      <c r="T109" s="27"/>
      <c r="U109" s="27"/>
      <c r="V109" s="27"/>
      <c r="W109" s="27"/>
      <c r="X109" s="27"/>
      <c r="Y109" s="27"/>
      <c r="Z109" s="27"/>
      <c r="AA109" s="27">
        <f>28000000+784585184-485000000-9000000</f>
        <v>318585184</v>
      </c>
      <c r="AB109" s="99"/>
      <c r="AC109" s="29">
        <f t="shared" si="105"/>
        <v>0.44417958133438862</v>
      </c>
      <c r="AD109" s="27">
        <f t="shared" ref="AD109:AD127" si="133">SUM(AE109:AX109)</f>
        <v>1264899677</v>
      </c>
      <c r="AE109" s="27"/>
      <c r="AF109" s="27"/>
      <c r="AG109" s="27">
        <f>+'[3]MAYO 2016'!$M$18</f>
        <v>1264899677</v>
      </c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9">
        <f t="shared" si="107"/>
        <v>0.55582041866561138</v>
      </c>
      <c r="AZ109" s="27">
        <f t="shared" ref="AZ109:AZ127" si="134">SUM(BA109:BT109)</f>
        <v>1582821673</v>
      </c>
      <c r="BA109" s="27">
        <f t="shared" ref="BA109:BA120" si="135">+H109</f>
        <v>0</v>
      </c>
      <c r="BB109" s="27">
        <f t="shared" ref="BB109:BP120" si="136">I109-AF109</f>
        <v>0</v>
      </c>
      <c r="BC109" s="27">
        <f t="shared" si="136"/>
        <v>999125323</v>
      </c>
      <c r="BD109" s="27">
        <f t="shared" si="136"/>
        <v>72450095</v>
      </c>
      <c r="BE109" s="27">
        <f t="shared" ref="BE109:BP119" si="137">+L109-AI109</f>
        <v>0</v>
      </c>
      <c r="BF109" s="27">
        <f t="shared" si="137"/>
        <v>0</v>
      </c>
      <c r="BG109" s="27">
        <f t="shared" si="137"/>
        <v>54387</v>
      </c>
      <c r="BH109" s="27">
        <f t="shared" si="137"/>
        <v>30665828</v>
      </c>
      <c r="BI109" s="27">
        <f t="shared" si="137"/>
        <v>1940856</v>
      </c>
      <c r="BJ109" s="27">
        <f t="shared" si="137"/>
        <v>0</v>
      </c>
      <c r="BK109" s="27">
        <f t="shared" si="137"/>
        <v>160000000</v>
      </c>
      <c r="BL109" s="27">
        <f t="shared" si="137"/>
        <v>0</v>
      </c>
      <c r="BM109" s="27">
        <f t="shared" si="137"/>
        <v>0</v>
      </c>
      <c r="BN109" s="27">
        <f t="shared" si="137"/>
        <v>0</v>
      </c>
      <c r="BO109" s="27">
        <f t="shared" si="137"/>
        <v>0</v>
      </c>
      <c r="BP109" s="27">
        <f t="shared" si="137"/>
        <v>0</v>
      </c>
      <c r="BQ109" s="27"/>
      <c r="BR109" s="27"/>
      <c r="BS109" s="27">
        <f t="shared" ref="BS109:BS120" si="138">Z109-AW109</f>
        <v>0</v>
      </c>
      <c r="BT109" s="27">
        <f t="shared" ref="BT109:BT119" si="139">+AA109-AX109</f>
        <v>318585184</v>
      </c>
      <c r="BU109" s="29">
        <f t="shared" si="114"/>
        <v>6.7201587332271814E-2</v>
      </c>
      <c r="BV109" s="27">
        <f t="shared" ref="BV109:BV127" si="140">SUM(BW109:CP109)</f>
        <v>191371395</v>
      </c>
      <c r="BW109" s="27"/>
      <c r="BX109" s="27"/>
      <c r="BY109" s="27">
        <f>+'[2]MARZO 2016 ULTIMO'!$H$16</f>
        <v>191371395</v>
      </c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9">
        <f t="shared" si="116"/>
        <v>0.93279841266772823</v>
      </c>
      <c r="CR109" s="27">
        <f t="shared" ref="CR109:CR127" si="141">SUM(CS109:DL109)</f>
        <v>2656349955</v>
      </c>
      <c r="CS109" s="27">
        <f t="shared" ref="CS109:CY120" si="142">H109-BW109</f>
        <v>0</v>
      </c>
      <c r="CT109" s="27">
        <f t="shared" si="142"/>
        <v>0</v>
      </c>
      <c r="CU109" s="27">
        <f t="shared" si="142"/>
        <v>2072653605</v>
      </c>
      <c r="CV109" s="27">
        <f t="shared" si="142"/>
        <v>72450095</v>
      </c>
      <c r="CW109" s="27">
        <f t="shared" si="142"/>
        <v>0</v>
      </c>
      <c r="CX109" s="27">
        <f t="shared" si="142"/>
        <v>0</v>
      </c>
      <c r="CY109" s="27">
        <f t="shared" si="142"/>
        <v>54387</v>
      </c>
      <c r="CZ109" s="27">
        <f t="shared" ref="CZ109:DB119" si="143">+O109-CD109</f>
        <v>30665828</v>
      </c>
      <c r="DA109" s="27">
        <f t="shared" si="143"/>
        <v>1940856</v>
      </c>
      <c r="DB109" s="27">
        <f t="shared" si="143"/>
        <v>0</v>
      </c>
      <c r="DC109" s="27">
        <f t="shared" ref="DC109:DE120" si="144">R109-CG109</f>
        <v>160000000</v>
      </c>
      <c r="DD109" s="27">
        <f t="shared" si="144"/>
        <v>0</v>
      </c>
      <c r="DE109" s="27">
        <f t="shared" si="144"/>
        <v>0</v>
      </c>
      <c r="DF109" s="27">
        <f t="shared" ref="DF109:DH119" si="145">+U109-CJ109</f>
        <v>0</v>
      </c>
      <c r="DG109" s="27">
        <f t="shared" si="145"/>
        <v>0</v>
      </c>
      <c r="DH109" s="27">
        <f t="shared" si="145"/>
        <v>0</v>
      </c>
      <c r="DI109" s="27"/>
      <c r="DJ109" s="27">
        <f t="shared" ref="DJ109:DL119" si="146">+Y109-CN109</f>
        <v>0</v>
      </c>
      <c r="DK109" s="27">
        <f t="shared" si="146"/>
        <v>0</v>
      </c>
      <c r="DL109" s="27">
        <f t="shared" si="146"/>
        <v>318585184</v>
      </c>
    </row>
    <row r="110" spans="1:117" s="64" customFormat="1" ht="30" customHeight="1" x14ac:dyDescent="0.25">
      <c r="A110" s="236"/>
      <c r="B110" s="230"/>
      <c r="C110" s="62" t="s">
        <v>304</v>
      </c>
      <c r="D110" s="24" t="s">
        <v>305</v>
      </c>
      <c r="E110" s="96">
        <v>111</v>
      </c>
      <c r="F110" s="26" t="s">
        <v>306</v>
      </c>
      <c r="G110" s="27">
        <f t="shared" ref="G110:G127" si="147">SUM(H110:AA110)</f>
        <v>1088479836</v>
      </c>
      <c r="H110" s="61"/>
      <c r="I110" s="61"/>
      <c r="J110" s="61">
        <v>982978733</v>
      </c>
      <c r="K110" s="61">
        <v>39062301</v>
      </c>
      <c r="L110" s="61"/>
      <c r="M110" s="61"/>
      <c r="N110" s="61"/>
      <c r="O110" s="61"/>
      <c r="P110" s="61"/>
      <c r="Q110" s="61">
        <f>3438802</f>
        <v>3438802</v>
      </c>
      <c r="R110" s="61">
        <f>50000000</f>
        <v>50000000</v>
      </c>
      <c r="S110" s="61"/>
      <c r="T110" s="61"/>
      <c r="U110" s="61"/>
      <c r="V110" s="61"/>
      <c r="W110" s="61"/>
      <c r="X110" s="61"/>
      <c r="Y110" s="61"/>
      <c r="Z110" s="61"/>
      <c r="AA110" s="61">
        <f>12000000+1000000</f>
        <v>13000000</v>
      </c>
      <c r="AB110" s="100"/>
      <c r="AC110" s="65">
        <f t="shared" si="105"/>
        <v>0.71856580079081966</v>
      </c>
      <c r="AD110" s="27">
        <f t="shared" si="133"/>
        <v>782144385</v>
      </c>
      <c r="AE110" s="61"/>
      <c r="AF110" s="61"/>
      <c r="AG110" s="61">
        <f>+'[1]JUNIO 2016'!$M$31</f>
        <v>690623210</v>
      </c>
      <c r="AH110" s="61">
        <f>+'[1]JUNIO 2016'!$N$31</f>
        <v>32964600</v>
      </c>
      <c r="AI110" s="61"/>
      <c r="AJ110" s="61"/>
      <c r="AK110" s="61"/>
      <c r="AL110" s="61"/>
      <c r="AM110" s="61"/>
      <c r="AN110" s="61"/>
      <c r="AO110" s="27">
        <f>+'[3]MAYO 2016'!$U$31</f>
        <v>49856575</v>
      </c>
      <c r="AP110" s="61"/>
      <c r="AQ110" s="61"/>
      <c r="AR110" s="61"/>
      <c r="AS110" s="61"/>
      <c r="AT110" s="61"/>
      <c r="AU110" s="61"/>
      <c r="AV110" s="61"/>
      <c r="AW110" s="61"/>
      <c r="AX110" s="61">
        <f>+'[1]JUNIO 2016'!$AG$31</f>
        <v>8700000</v>
      </c>
      <c r="AY110" s="65">
        <f t="shared" si="107"/>
        <v>0.28143419920918034</v>
      </c>
      <c r="AZ110" s="27">
        <f t="shared" si="134"/>
        <v>306335451</v>
      </c>
      <c r="BA110" s="27">
        <f t="shared" si="135"/>
        <v>0</v>
      </c>
      <c r="BB110" s="61">
        <f t="shared" si="136"/>
        <v>0</v>
      </c>
      <c r="BC110" s="61">
        <f t="shared" si="136"/>
        <v>292355523</v>
      </c>
      <c r="BD110" s="61">
        <f t="shared" si="136"/>
        <v>6097701</v>
      </c>
      <c r="BE110" s="61">
        <f t="shared" si="137"/>
        <v>0</v>
      </c>
      <c r="BF110" s="61">
        <f t="shared" si="137"/>
        <v>0</v>
      </c>
      <c r="BG110" s="27">
        <f t="shared" si="137"/>
        <v>0</v>
      </c>
      <c r="BH110" s="61">
        <f t="shared" si="137"/>
        <v>0</v>
      </c>
      <c r="BI110" s="61">
        <f t="shared" si="137"/>
        <v>0</v>
      </c>
      <c r="BJ110" s="61">
        <f t="shared" si="137"/>
        <v>3438802</v>
      </c>
      <c r="BK110" s="61">
        <f t="shared" si="137"/>
        <v>143425</v>
      </c>
      <c r="BL110" s="61">
        <f t="shared" si="137"/>
        <v>0</v>
      </c>
      <c r="BM110" s="61">
        <f t="shared" si="137"/>
        <v>0</v>
      </c>
      <c r="BN110" s="61">
        <f t="shared" si="137"/>
        <v>0</v>
      </c>
      <c r="BO110" s="61">
        <f t="shared" si="137"/>
        <v>0</v>
      </c>
      <c r="BP110" s="61">
        <f t="shared" si="137"/>
        <v>0</v>
      </c>
      <c r="BQ110" s="61"/>
      <c r="BR110" s="61"/>
      <c r="BS110" s="27">
        <f t="shared" si="138"/>
        <v>0</v>
      </c>
      <c r="BT110" s="61">
        <f t="shared" si="139"/>
        <v>4300000</v>
      </c>
      <c r="BU110" s="65">
        <f t="shared" si="114"/>
        <v>0.52104670407509501</v>
      </c>
      <c r="BV110" s="27">
        <f t="shared" si="140"/>
        <v>567148831</v>
      </c>
      <c r="BW110" s="61"/>
      <c r="BX110" s="61"/>
      <c r="BY110" s="61">
        <f>+'[1]JUNIO 2016'!$H$33+'[1]JUNIO 2016'!$H$36+'[1]JUNIO 2016'!$H$38+'[1]JUNIO 2016'!$H$41+'[1]JUNIO 2016'!$H$43+'[1]JUNIO 2016'!$H$48+'[1]JUNIO 2016'!$H$50+'[1]JUNIO 2016'!$H$54</f>
        <v>483851956</v>
      </c>
      <c r="BZ110" s="61">
        <f>+'[1]JUNIO 2016'!$H$56</f>
        <v>30710300</v>
      </c>
      <c r="CA110" s="61"/>
      <c r="CB110" s="61"/>
      <c r="CC110" s="61"/>
      <c r="CD110" s="61"/>
      <c r="CE110" s="61"/>
      <c r="CF110" s="61"/>
      <c r="CG110" s="61">
        <f>+'[4]ABRIL 2016'!$H$34</f>
        <v>49856575</v>
      </c>
      <c r="CH110" s="61"/>
      <c r="CI110" s="61"/>
      <c r="CJ110" s="61"/>
      <c r="CK110" s="61"/>
      <c r="CL110" s="61"/>
      <c r="CM110" s="61"/>
      <c r="CN110" s="61"/>
      <c r="CO110" s="61"/>
      <c r="CP110" s="61">
        <f>+'[1]JUNIO 2016'!$H$53+'[1]JUNIO 2016'!$H$58</f>
        <v>2730000</v>
      </c>
      <c r="CQ110" s="65">
        <f t="shared" si="116"/>
        <v>0.47895329592490499</v>
      </c>
      <c r="CR110" s="27">
        <f t="shared" si="141"/>
        <v>521331005</v>
      </c>
      <c r="CS110" s="27">
        <f t="shared" si="142"/>
        <v>0</v>
      </c>
      <c r="CT110" s="27">
        <f t="shared" si="142"/>
        <v>0</v>
      </c>
      <c r="CU110" s="61">
        <f t="shared" si="142"/>
        <v>499126777</v>
      </c>
      <c r="CV110" s="61">
        <f t="shared" si="142"/>
        <v>8352001</v>
      </c>
      <c r="CW110" s="61">
        <f t="shared" si="142"/>
        <v>0</v>
      </c>
      <c r="CX110" s="61">
        <f t="shared" si="142"/>
        <v>0</v>
      </c>
      <c r="CY110" s="27">
        <f t="shared" si="142"/>
        <v>0</v>
      </c>
      <c r="CZ110" s="61">
        <f t="shared" si="143"/>
        <v>0</v>
      </c>
      <c r="DA110" s="61">
        <f t="shared" si="143"/>
        <v>0</v>
      </c>
      <c r="DB110" s="27">
        <f t="shared" si="143"/>
        <v>3438802</v>
      </c>
      <c r="DC110" s="61">
        <f t="shared" si="144"/>
        <v>143425</v>
      </c>
      <c r="DD110" s="61">
        <f t="shared" si="144"/>
        <v>0</v>
      </c>
      <c r="DE110" s="61">
        <f t="shared" si="144"/>
        <v>0</v>
      </c>
      <c r="DF110" s="61">
        <f t="shared" si="145"/>
        <v>0</v>
      </c>
      <c r="DG110" s="61">
        <f t="shared" si="145"/>
        <v>0</v>
      </c>
      <c r="DH110" s="61">
        <f t="shared" si="145"/>
        <v>0</v>
      </c>
      <c r="DI110" s="61"/>
      <c r="DJ110" s="61">
        <f t="shared" si="146"/>
        <v>0</v>
      </c>
      <c r="DK110" s="27">
        <f t="shared" si="146"/>
        <v>0</v>
      </c>
      <c r="DL110" s="61">
        <f t="shared" si="146"/>
        <v>10270000</v>
      </c>
    </row>
    <row r="111" spans="1:117" ht="23.25" customHeight="1" x14ac:dyDescent="0.25">
      <c r="A111" s="236"/>
      <c r="B111" s="231"/>
      <c r="C111" s="75" t="s">
        <v>307</v>
      </c>
      <c r="D111" s="24" t="s">
        <v>308</v>
      </c>
      <c r="E111" s="98">
        <v>111</v>
      </c>
      <c r="F111" s="26" t="s">
        <v>309</v>
      </c>
      <c r="G111" s="27">
        <f t="shared" si="147"/>
        <v>100000000</v>
      </c>
      <c r="H111" s="27"/>
      <c r="I111" s="27"/>
      <c r="J111" s="27"/>
      <c r="K111" s="27">
        <v>59490931</v>
      </c>
      <c r="L111" s="27"/>
      <c r="M111" s="27"/>
      <c r="N111" s="27"/>
      <c r="O111" s="27"/>
      <c r="P111" s="27"/>
      <c r="Q111" s="27"/>
      <c r="R111" s="61">
        <f>140509069-100000000</f>
        <v>40509069</v>
      </c>
      <c r="S111" s="27"/>
      <c r="T111" s="27"/>
      <c r="U111" s="27"/>
      <c r="V111" s="27"/>
      <c r="W111" s="27"/>
      <c r="X111" s="27"/>
      <c r="Y111" s="27"/>
      <c r="Z111" s="27"/>
      <c r="AA111" s="27"/>
      <c r="AB111" s="99"/>
      <c r="AC111" s="29">
        <f t="shared" si="105"/>
        <v>0.49256</v>
      </c>
      <c r="AD111" s="27">
        <f t="shared" si="133"/>
        <v>49256000</v>
      </c>
      <c r="AE111" s="27"/>
      <c r="AF111" s="27"/>
      <c r="AG111" s="27"/>
      <c r="AH111" s="27">
        <f>+'[3]MAYO 2016'!$N$58</f>
        <v>19256000</v>
      </c>
      <c r="AI111" s="27"/>
      <c r="AJ111" s="27"/>
      <c r="AK111" s="27"/>
      <c r="AL111" s="27"/>
      <c r="AM111" s="27"/>
      <c r="AN111" s="27"/>
      <c r="AO111" s="27">
        <f>+'[4]ABRIL 2016'!$U$50</f>
        <v>30000000</v>
      </c>
      <c r="AP111" s="27"/>
      <c r="AQ111" s="27"/>
      <c r="AR111" s="27"/>
      <c r="AS111" s="27"/>
      <c r="AT111" s="27"/>
      <c r="AU111" s="27"/>
      <c r="AV111" s="27"/>
      <c r="AW111" s="27"/>
      <c r="AX111" s="27"/>
      <c r="AY111" s="29">
        <f t="shared" si="107"/>
        <v>0.50744</v>
      </c>
      <c r="AZ111" s="27">
        <f t="shared" si="134"/>
        <v>50744000</v>
      </c>
      <c r="BA111" s="27">
        <f t="shared" si="135"/>
        <v>0</v>
      </c>
      <c r="BB111" s="27">
        <f t="shared" si="136"/>
        <v>0</v>
      </c>
      <c r="BC111" s="27">
        <f t="shared" si="136"/>
        <v>0</v>
      </c>
      <c r="BD111" s="27">
        <f t="shared" si="136"/>
        <v>40234931</v>
      </c>
      <c r="BE111" s="27">
        <f t="shared" si="137"/>
        <v>0</v>
      </c>
      <c r="BF111" s="27">
        <f t="shared" si="137"/>
        <v>0</v>
      </c>
      <c r="BG111" s="27">
        <f t="shared" si="137"/>
        <v>0</v>
      </c>
      <c r="BH111" s="27">
        <f t="shared" si="137"/>
        <v>0</v>
      </c>
      <c r="BI111" s="27">
        <f t="shared" si="137"/>
        <v>0</v>
      </c>
      <c r="BJ111" s="27">
        <f t="shared" si="137"/>
        <v>0</v>
      </c>
      <c r="BK111" s="27">
        <f t="shared" si="137"/>
        <v>10509069</v>
      </c>
      <c r="BL111" s="27">
        <f t="shared" si="137"/>
        <v>0</v>
      </c>
      <c r="BM111" s="27">
        <f t="shared" si="137"/>
        <v>0</v>
      </c>
      <c r="BN111" s="27">
        <f t="shared" si="137"/>
        <v>0</v>
      </c>
      <c r="BO111" s="27">
        <f t="shared" si="137"/>
        <v>0</v>
      </c>
      <c r="BP111" s="27">
        <f t="shared" si="137"/>
        <v>0</v>
      </c>
      <c r="BQ111" s="27"/>
      <c r="BR111" s="27"/>
      <c r="BS111" s="27">
        <f t="shared" si="138"/>
        <v>0</v>
      </c>
      <c r="BT111" s="27">
        <f t="shared" si="139"/>
        <v>0</v>
      </c>
      <c r="BU111" s="29">
        <f t="shared" si="114"/>
        <v>0.44638040000000001</v>
      </c>
      <c r="BV111" s="27">
        <f t="shared" si="140"/>
        <v>44638040</v>
      </c>
      <c r="BW111" s="27"/>
      <c r="BX111" s="27"/>
      <c r="BY111" s="27"/>
      <c r="BZ111" s="27">
        <f>+'[1]JUNIO 2016'!$H$67+'[1]JUNIO 2016'!$H$70</f>
        <v>14638040</v>
      </c>
      <c r="CA111" s="27"/>
      <c r="CB111" s="27"/>
      <c r="CC111" s="27"/>
      <c r="CD111" s="27"/>
      <c r="CE111" s="27"/>
      <c r="CF111" s="27"/>
      <c r="CG111" s="27">
        <f>+'[3]MAYO 2016'!$H$62</f>
        <v>30000000</v>
      </c>
      <c r="CH111" s="27"/>
      <c r="CI111" s="27"/>
      <c r="CJ111" s="27"/>
      <c r="CK111" s="27"/>
      <c r="CL111" s="27"/>
      <c r="CM111" s="27"/>
      <c r="CN111" s="27"/>
      <c r="CO111" s="27"/>
      <c r="CP111" s="27"/>
      <c r="CQ111" s="29">
        <f t="shared" si="116"/>
        <v>0.55361959999999999</v>
      </c>
      <c r="CR111" s="27">
        <f t="shared" si="141"/>
        <v>55361960</v>
      </c>
      <c r="CS111" s="27">
        <f t="shared" si="142"/>
        <v>0</v>
      </c>
      <c r="CT111" s="27">
        <f t="shared" si="142"/>
        <v>0</v>
      </c>
      <c r="CU111" s="27">
        <f t="shared" si="142"/>
        <v>0</v>
      </c>
      <c r="CV111" s="27">
        <f t="shared" si="142"/>
        <v>44852891</v>
      </c>
      <c r="CW111" s="27">
        <f t="shared" si="142"/>
        <v>0</v>
      </c>
      <c r="CX111" s="27">
        <f t="shared" si="142"/>
        <v>0</v>
      </c>
      <c r="CY111" s="27">
        <f t="shared" si="142"/>
        <v>0</v>
      </c>
      <c r="CZ111" s="27">
        <f t="shared" si="143"/>
        <v>0</v>
      </c>
      <c r="DA111" s="27">
        <f t="shared" si="143"/>
        <v>0</v>
      </c>
      <c r="DB111" s="27">
        <f t="shared" si="143"/>
        <v>0</v>
      </c>
      <c r="DC111" s="27">
        <f t="shared" si="144"/>
        <v>10509069</v>
      </c>
      <c r="DD111" s="27">
        <f t="shared" si="144"/>
        <v>0</v>
      </c>
      <c r="DE111" s="27">
        <f t="shared" si="144"/>
        <v>0</v>
      </c>
      <c r="DF111" s="27">
        <f t="shared" si="145"/>
        <v>0</v>
      </c>
      <c r="DG111" s="27">
        <f t="shared" si="145"/>
        <v>0</v>
      </c>
      <c r="DH111" s="27">
        <f t="shared" si="145"/>
        <v>0</v>
      </c>
      <c r="DI111" s="27"/>
      <c r="DJ111" s="27">
        <f t="shared" si="146"/>
        <v>0</v>
      </c>
      <c r="DK111" s="27">
        <f t="shared" si="146"/>
        <v>0</v>
      </c>
      <c r="DL111" s="27">
        <f t="shared" si="146"/>
        <v>0</v>
      </c>
      <c r="DM111" s="50"/>
    </row>
    <row r="112" spans="1:117" ht="33.75" customHeight="1" x14ac:dyDescent="0.25">
      <c r="A112" s="236"/>
      <c r="B112" s="229" t="s">
        <v>310</v>
      </c>
      <c r="C112" s="75" t="s">
        <v>311</v>
      </c>
      <c r="D112" s="24" t="s">
        <v>312</v>
      </c>
      <c r="E112" s="98">
        <v>211</v>
      </c>
      <c r="F112" s="26" t="s">
        <v>306</v>
      </c>
      <c r="G112" s="27">
        <f t="shared" si="147"/>
        <v>2379879497</v>
      </c>
      <c r="H112" s="27"/>
      <c r="I112" s="27"/>
      <c r="J112" s="27">
        <v>2300000000</v>
      </c>
      <c r="K112" s="27"/>
      <c r="L112" s="27"/>
      <c r="M112" s="27"/>
      <c r="N112" s="27"/>
      <c r="O112" s="27"/>
      <c r="P112" s="27"/>
      <c r="Q112" s="27"/>
      <c r="R112" s="27">
        <f>70000000</f>
        <v>70000000</v>
      </c>
      <c r="S112" s="27"/>
      <c r="T112" s="27"/>
      <c r="U112" s="27"/>
      <c r="V112" s="27"/>
      <c r="W112" s="27"/>
      <c r="X112" s="27"/>
      <c r="Y112" s="27"/>
      <c r="Z112" s="27"/>
      <c r="AA112" s="27">
        <f>9879497</f>
        <v>9879497</v>
      </c>
      <c r="AC112" s="29">
        <f t="shared" si="105"/>
        <v>0.40521067441256248</v>
      </c>
      <c r="AD112" s="27">
        <f t="shared" si="133"/>
        <v>964352576</v>
      </c>
      <c r="AE112" s="27"/>
      <c r="AF112" s="27"/>
      <c r="AG112" s="27">
        <f>+'[3]MAYO 2016'!$M$75</f>
        <v>884486456</v>
      </c>
      <c r="AH112" s="27"/>
      <c r="AI112" s="27"/>
      <c r="AJ112" s="27"/>
      <c r="AK112" s="27"/>
      <c r="AL112" s="27"/>
      <c r="AM112" s="27"/>
      <c r="AN112" s="27"/>
      <c r="AO112" s="27">
        <f>+'[3]MAYO 2016'!$U$75</f>
        <v>70000000</v>
      </c>
      <c r="AP112" s="27"/>
      <c r="AQ112" s="27"/>
      <c r="AR112" s="27"/>
      <c r="AS112" s="27"/>
      <c r="AT112" s="27"/>
      <c r="AU112" s="27"/>
      <c r="AV112" s="27"/>
      <c r="AW112" s="27"/>
      <c r="AX112" s="27">
        <f>+'[3]MAYO 2016'!$AG$75</f>
        <v>9866120</v>
      </c>
      <c r="AY112" s="29">
        <f t="shared" si="107"/>
        <v>0.59478932558743747</v>
      </c>
      <c r="AZ112" s="27">
        <f t="shared" si="134"/>
        <v>1415526921</v>
      </c>
      <c r="BA112" s="27">
        <f t="shared" si="135"/>
        <v>0</v>
      </c>
      <c r="BB112" s="27">
        <f t="shared" si="136"/>
        <v>0</v>
      </c>
      <c r="BC112" s="27">
        <f t="shared" si="136"/>
        <v>1415513544</v>
      </c>
      <c r="BD112" s="27">
        <f t="shared" si="136"/>
        <v>0</v>
      </c>
      <c r="BE112" s="27">
        <f t="shared" si="137"/>
        <v>0</v>
      </c>
      <c r="BF112" s="27">
        <f t="shared" si="137"/>
        <v>0</v>
      </c>
      <c r="BG112" s="27">
        <f t="shared" si="137"/>
        <v>0</v>
      </c>
      <c r="BH112" s="27">
        <f t="shared" si="137"/>
        <v>0</v>
      </c>
      <c r="BI112" s="27">
        <f t="shared" si="137"/>
        <v>0</v>
      </c>
      <c r="BJ112" s="27">
        <f t="shared" si="137"/>
        <v>0</v>
      </c>
      <c r="BK112" s="27">
        <f t="shared" si="137"/>
        <v>0</v>
      </c>
      <c r="BL112" s="27">
        <f t="shared" si="137"/>
        <v>0</v>
      </c>
      <c r="BM112" s="27">
        <f t="shared" si="137"/>
        <v>0</v>
      </c>
      <c r="BN112" s="27">
        <f t="shared" si="137"/>
        <v>0</v>
      </c>
      <c r="BO112" s="27">
        <f t="shared" si="137"/>
        <v>0</v>
      </c>
      <c r="BP112" s="27">
        <f t="shared" si="137"/>
        <v>0</v>
      </c>
      <c r="BQ112" s="27"/>
      <c r="BR112" s="27"/>
      <c r="BS112" s="27">
        <f t="shared" si="138"/>
        <v>0</v>
      </c>
      <c r="BT112" s="27">
        <f t="shared" si="139"/>
        <v>13377</v>
      </c>
      <c r="BU112" s="29">
        <f t="shared" si="114"/>
        <v>0.27830331738851061</v>
      </c>
      <c r="BV112" s="27">
        <f t="shared" si="140"/>
        <v>662328359</v>
      </c>
      <c r="BW112" s="27"/>
      <c r="BX112" s="27"/>
      <c r="BY112" s="27">
        <f>+'[1]JUNIO 2016'!$H$84+'[1]JUNIO 2016'!$H$86+'[1]JUNIO 2016'!$H$90+'[1]JUNIO 2016'!$H$92+'[1]JUNIO 2016'!$H$95+'[1]JUNIO 2016'!$H$96+'[1]JUNIO 2016'!$H$98+'[1]JUNIO 2016'!$H$104+'[1]JUNIO 2016'!$H$108+'[1]JUNIO 2016'!$H$111</f>
        <v>652462239</v>
      </c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>
        <f>+'[3]MAYO 2016'!$H$91</f>
        <v>9866120</v>
      </c>
      <c r="CQ112" s="29">
        <f t="shared" si="116"/>
        <v>0.72169668261148945</v>
      </c>
      <c r="CR112" s="27">
        <f t="shared" si="141"/>
        <v>1717551138</v>
      </c>
      <c r="CS112" s="27">
        <f t="shared" si="142"/>
        <v>0</v>
      </c>
      <c r="CT112" s="27">
        <f t="shared" si="142"/>
        <v>0</v>
      </c>
      <c r="CU112" s="27">
        <f t="shared" si="142"/>
        <v>1647537761</v>
      </c>
      <c r="CV112" s="27">
        <f t="shared" si="142"/>
        <v>0</v>
      </c>
      <c r="CW112" s="27">
        <f t="shared" si="142"/>
        <v>0</v>
      </c>
      <c r="CX112" s="27">
        <f t="shared" si="142"/>
        <v>0</v>
      </c>
      <c r="CY112" s="27">
        <f t="shared" si="142"/>
        <v>0</v>
      </c>
      <c r="CZ112" s="27">
        <f t="shared" si="143"/>
        <v>0</v>
      </c>
      <c r="DA112" s="27">
        <f t="shared" si="143"/>
        <v>0</v>
      </c>
      <c r="DB112" s="27">
        <f t="shared" si="143"/>
        <v>0</v>
      </c>
      <c r="DC112" s="27">
        <f t="shared" si="144"/>
        <v>70000000</v>
      </c>
      <c r="DD112" s="27">
        <f t="shared" si="144"/>
        <v>0</v>
      </c>
      <c r="DE112" s="27">
        <f t="shared" si="144"/>
        <v>0</v>
      </c>
      <c r="DF112" s="27">
        <f t="shared" si="145"/>
        <v>0</v>
      </c>
      <c r="DG112" s="27">
        <f t="shared" si="145"/>
        <v>0</v>
      </c>
      <c r="DH112" s="27">
        <f t="shared" si="145"/>
        <v>0</v>
      </c>
      <c r="DI112" s="27"/>
      <c r="DJ112" s="27">
        <f t="shared" si="146"/>
        <v>0</v>
      </c>
      <c r="DK112" s="27">
        <f t="shared" si="146"/>
        <v>0</v>
      </c>
      <c r="DL112" s="27">
        <f t="shared" si="146"/>
        <v>13377</v>
      </c>
    </row>
    <row r="113" spans="1:116" ht="21.75" customHeight="1" x14ac:dyDescent="0.25">
      <c r="A113" s="236"/>
      <c r="B113" s="230"/>
      <c r="C113" s="75" t="s">
        <v>313</v>
      </c>
      <c r="D113" s="24" t="s">
        <v>314</v>
      </c>
      <c r="E113" s="98">
        <v>211</v>
      </c>
      <c r="F113" s="26" t="s">
        <v>309</v>
      </c>
      <c r="G113" s="27">
        <f t="shared" si="147"/>
        <v>310432388</v>
      </c>
      <c r="H113" s="27"/>
      <c r="I113" s="27"/>
      <c r="J113" s="27">
        <v>170000000</v>
      </c>
      <c r="K113" s="27"/>
      <c r="L113" s="27"/>
      <c r="M113" s="27"/>
      <c r="N113" s="27"/>
      <c r="O113" s="27"/>
      <c r="P113" s="27"/>
      <c r="Q113" s="27"/>
      <c r="R113" s="27">
        <v>10432388</v>
      </c>
      <c r="S113" s="27"/>
      <c r="T113" s="27">
        <v>130000000</v>
      </c>
      <c r="U113" s="27"/>
      <c r="V113" s="27"/>
      <c r="W113" s="27"/>
      <c r="X113" s="27"/>
      <c r="Y113" s="27"/>
      <c r="Z113" s="27"/>
      <c r="AA113" s="27"/>
      <c r="AC113" s="29">
        <f t="shared" si="105"/>
        <v>0.37419701194322547</v>
      </c>
      <c r="AD113" s="27">
        <f t="shared" si="133"/>
        <v>116162872</v>
      </c>
      <c r="AE113" s="27"/>
      <c r="AF113" s="27"/>
      <c r="AG113" s="27">
        <f>+'[1]JUNIO 2016'!$M$115</f>
        <v>116162872</v>
      </c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9">
        <f t="shared" si="107"/>
        <v>0.62580298805677459</v>
      </c>
      <c r="AZ113" s="27">
        <f t="shared" si="134"/>
        <v>194269516</v>
      </c>
      <c r="BA113" s="27">
        <f t="shared" si="135"/>
        <v>0</v>
      </c>
      <c r="BB113" s="27">
        <f t="shared" si="136"/>
        <v>0</v>
      </c>
      <c r="BC113" s="27">
        <f t="shared" si="136"/>
        <v>53837128</v>
      </c>
      <c r="BD113" s="27">
        <f t="shared" si="136"/>
        <v>0</v>
      </c>
      <c r="BE113" s="27">
        <f t="shared" si="137"/>
        <v>0</v>
      </c>
      <c r="BF113" s="27">
        <f t="shared" si="137"/>
        <v>0</v>
      </c>
      <c r="BG113" s="27">
        <f t="shared" si="137"/>
        <v>0</v>
      </c>
      <c r="BH113" s="27">
        <f t="shared" si="137"/>
        <v>0</v>
      </c>
      <c r="BI113" s="27">
        <f t="shared" si="137"/>
        <v>0</v>
      </c>
      <c r="BJ113" s="27">
        <f t="shared" si="137"/>
        <v>0</v>
      </c>
      <c r="BK113" s="27">
        <f t="shared" si="137"/>
        <v>10432388</v>
      </c>
      <c r="BL113" s="27">
        <f t="shared" si="137"/>
        <v>0</v>
      </c>
      <c r="BM113" s="27">
        <f t="shared" si="137"/>
        <v>130000000</v>
      </c>
      <c r="BN113" s="27">
        <f t="shared" si="137"/>
        <v>0</v>
      </c>
      <c r="BO113" s="27">
        <f t="shared" si="137"/>
        <v>0</v>
      </c>
      <c r="BP113" s="27">
        <f t="shared" si="137"/>
        <v>0</v>
      </c>
      <c r="BQ113" s="27"/>
      <c r="BR113" s="27"/>
      <c r="BS113" s="27">
        <f t="shared" si="138"/>
        <v>0</v>
      </c>
      <c r="BT113" s="27">
        <f t="shared" si="139"/>
        <v>0</v>
      </c>
      <c r="BU113" s="29">
        <f t="shared" si="114"/>
        <v>0.21346275247542792</v>
      </c>
      <c r="BV113" s="27">
        <f t="shared" si="140"/>
        <v>66265752</v>
      </c>
      <c r="BW113" s="27"/>
      <c r="BX113" s="27"/>
      <c r="BY113" s="27">
        <f>+'[3]MAYO 2016'!$H$107+'[3]MAYO 2016'!$H$116+'[3]MAYO 2016'!$H$118</f>
        <v>66265752</v>
      </c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9">
        <f t="shared" si="116"/>
        <v>0.7865372475245721</v>
      </c>
      <c r="CR113" s="27">
        <f t="shared" si="141"/>
        <v>244166636</v>
      </c>
      <c r="CS113" s="27">
        <f t="shared" si="142"/>
        <v>0</v>
      </c>
      <c r="CT113" s="27">
        <f t="shared" si="142"/>
        <v>0</v>
      </c>
      <c r="CU113" s="27">
        <f t="shared" si="142"/>
        <v>103734248</v>
      </c>
      <c r="CV113" s="27">
        <f t="shared" si="142"/>
        <v>0</v>
      </c>
      <c r="CW113" s="27">
        <f t="shared" si="142"/>
        <v>0</v>
      </c>
      <c r="CX113" s="27">
        <f t="shared" si="142"/>
        <v>0</v>
      </c>
      <c r="CY113" s="27">
        <f t="shared" si="142"/>
        <v>0</v>
      </c>
      <c r="CZ113" s="27">
        <f t="shared" si="143"/>
        <v>0</v>
      </c>
      <c r="DA113" s="27">
        <f t="shared" si="143"/>
        <v>0</v>
      </c>
      <c r="DB113" s="27">
        <f t="shared" si="143"/>
        <v>0</v>
      </c>
      <c r="DC113" s="27">
        <f t="shared" si="144"/>
        <v>10432388</v>
      </c>
      <c r="DD113" s="27">
        <f t="shared" si="144"/>
        <v>0</v>
      </c>
      <c r="DE113" s="27">
        <f t="shared" si="144"/>
        <v>130000000</v>
      </c>
      <c r="DF113" s="27">
        <f t="shared" si="145"/>
        <v>0</v>
      </c>
      <c r="DG113" s="27">
        <f t="shared" si="145"/>
        <v>0</v>
      </c>
      <c r="DH113" s="27">
        <f t="shared" si="145"/>
        <v>0</v>
      </c>
      <c r="DI113" s="27"/>
      <c r="DJ113" s="27">
        <f t="shared" si="146"/>
        <v>0</v>
      </c>
      <c r="DK113" s="27">
        <f t="shared" si="146"/>
        <v>0</v>
      </c>
      <c r="DL113" s="27">
        <f t="shared" si="146"/>
        <v>0</v>
      </c>
    </row>
    <row r="114" spans="1:116" s="64" customFormat="1" ht="30.75" customHeight="1" x14ac:dyDescent="0.25">
      <c r="A114" s="236"/>
      <c r="B114" s="230"/>
      <c r="C114" s="62" t="s">
        <v>315</v>
      </c>
      <c r="D114" s="24" t="s">
        <v>316</v>
      </c>
      <c r="E114" s="96">
        <v>211</v>
      </c>
      <c r="F114" s="26" t="s">
        <v>317</v>
      </c>
      <c r="G114" s="27">
        <f t="shared" si="147"/>
        <v>459535209</v>
      </c>
      <c r="H114" s="61"/>
      <c r="I114" s="32"/>
      <c r="J114" s="61">
        <v>453535209</v>
      </c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>
        <v>6000000</v>
      </c>
      <c r="AC114" s="65">
        <f t="shared" si="105"/>
        <v>0.39162613979378452</v>
      </c>
      <c r="AD114" s="27">
        <f t="shared" si="133"/>
        <v>179966000</v>
      </c>
      <c r="AE114" s="61"/>
      <c r="AF114" s="61"/>
      <c r="AG114" s="61">
        <f>+'[3]MAYO 2016'!$M$122</f>
        <v>179966000</v>
      </c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5">
        <f t="shared" si="107"/>
        <v>0.60837386020621542</v>
      </c>
      <c r="AZ114" s="27">
        <f t="shared" si="134"/>
        <v>279569209</v>
      </c>
      <c r="BA114" s="27">
        <f t="shared" si="135"/>
        <v>0</v>
      </c>
      <c r="BB114" s="61">
        <f t="shared" si="136"/>
        <v>0</v>
      </c>
      <c r="BC114" s="61">
        <f t="shared" si="136"/>
        <v>273569209</v>
      </c>
      <c r="BD114" s="61">
        <f t="shared" si="136"/>
        <v>0</v>
      </c>
      <c r="BE114" s="61">
        <f t="shared" si="137"/>
        <v>0</v>
      </c>
      <c r="BF114" s="61">
        <f t="shared" si="137"/>
        <v>0</v>
      </c>
      <c r="BG114" s="27">
        <f t="shared" si="137"/>
        <v>0</v>
      </c>
      <c r="BH114" s="61">
        <f t="shared" si="137"/>
        <v>0</v>
      </c>
      <c r="BI114" s="61">
        <f t="shared" si="137"/>
        <v>0</v>
      </c>
      <c r="BJ114" s="61">
        <f t="shared" si="137"/>
        <v>0</v>
      </c>
      <c r="BK114" s="61">
        <f t="shared" si="137"/>
        <v>0</v>
      </c>
      <c r="BL114" s="61">
        <f t="shared" si="137"/>
        <v>0</v>
      </c>
      <c r="BM114" s="61">
        <f t="shared" si="137"/>
        <v>0</v>
      </c>
      <c r="BN114" s="61">
        <f t="shared" si="137"/>
        <v>0</v>
      </c>
      <c r="BO114" s="61">
        <f t="shared" si="137"/>
        <v>0</v>
      </c>
      <c r="BP114" s="61">
        <f t="shared" si="137"/>
        <v>0</v>
      </c>
      <c r="BQ114" s="61"/>
      <c r="BR114" s="61"/>
      <c r="BS114" s="27">
        <f t="shared" si="138"/>
        <v>0</v>
      </c>
      <c r="BT114" s="61">
        <f t="shared" si="139"/>
        <v>6000000</v>
      </c>
      <c r="BU114" s="65">
        <f t="shared" si="114"/>
        <v>0.21797241655970695</v>
      </c>
      <c r="BV114" s="27">
        <f t="shared" si="140"/>
        <v>100166000</v>
      </c>
      <c r="BW114" s="61"/>
      <c r="BX114" s="61"/>
      <c r="BY114" s="61">
        <f>+'[4]ABRIL 2016'!$H$97</f>
        <v>100166000</v>
      </c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5">
        <f t="shared" si="116"/>
        <v>0.78202758344029299</v>
      </c>
      <c r="CR114" s="27">
        <f t="shared" si="141"/>
        <v>359369209</v>
      </c>
      <c r="CS114" s="27">
        <f t="shared" si="142"/>
        <v>0</v>
      </c>
      <c r="CT114" s="27">
        <f t="shared" si="142"/>
        <v>0</v>
      </c>
      <c r="CU114" s="61">
        <f t="shared" si="142"/>
        <v>353369209</v>
      </c>
      <c r="CV114" s="61">
        <f t="shared" si="142"/>
        <v>0</v>
      </c>
      <c r="CW114" s="61">
        <f t="shared" si="142"/>
        <v>0</v>
      </c>
      <c r="CX114" s="61">
        <f t="shared" si="142"/>
        <v>0</v>
      </c>
      <c r="CY114" s="27">
        <f t="shared" si="142"/>
        <v>0</v>
      </c>
      <c r="CZ114" s="61">
        <f t="shared" si="143"/>
        <v>0</v>
      </c>
      <c r="DA114" s="61">
        <f t="shared" si="143"/>
        <v>0</v>
      </c>
      <c r="DB114" s="27">
        <f t="shared" si="143"/>
        <v>0</v>
      </c>
      <c r="DC114" s="61">
        <f t="shared" si="144"/>
        <v>0</v>
      </c>
      <c r="DD114" s="61">
        <f t="shared" si="144"/>
        <v>0</v>
      </c>
      <c r="DE114" s="61">
        <f t="shared" si="144"/>
        <v>0</v>
      </c>
      <c r="DF114" s="61">
        <f t="shared" si="145"/>
        <v>0</v>
      </c>
      <c r="DG114" s="61">
        <f t="shared" si="145"/>
        <v>0</v>
      </c>
      <c r="DH114" s="61">
        <f t="shared" si="145"/>
        <v>0</v>
      </c>
      <c r="DI114" s="61"/>
      <c r="DJ114" s="61">
        <f t="shared" si="146"/>
        <v>0</v>
      </c>
      <c r="DK114" s="61">
        <f t="shared" si="146"/>
        <v>0</v>
      </c>
      <c r="DL114" s="61">
        <f t="shared" si="146"/>
        <v>6000000</v>
      </c>
    </row>
    <row r="115" spans="1:116" ht="83.25" customHeight="1" x14ac:dyDescent="0.25">
      <c r="A115" s="236"/>
      <c r="B115" s="230"/>
      <c r="C115" s="75" t="s">
        <v>318</v>
      </c>
      <c r="D115" s="24" t="s">
        <v>319</v>
      </c>
      <c r="E115" s="98">
        <v>211</v>
      </c>
      <c r="F115" s="26" t="s">
        <v>320</v>
      </c>
      <c r="G115" s="27">
        <f t="shared" si="147"/>
        <v>433607498</v>
      </c>
      <c r="H115" s="27"/>
      <c r="I115" s="39"/>
      <c r="J115" s="27">
        <v>300000000</v>
      </c>
      <c r="K115" s="27"/>
      <c r="L115" s="27"/>
      <c r="M115" s="27"/>
      <c r="N115" s="27"/>
      <c r="O115" s="27"/>
      <c r="P115" s="27"/>
      <c r="Q115" s="27"/>
      <c r="R115" s="27">
        <v>15000000</v>
      </c>
      <c r="S115" s="27"/>
      <c r="T115" s="27"/>
      <c r="U115" s="27"/>
      <c r="V115" s="27"/>
      <c r="W115" s="27"/>
      <c r="X115" s="27"/>
      <c r="Y115" s="27"/>
      <c r="Z115" s="27"/>
      <c r="AA115" s="27">
        <f>105607498+8000000+9000000-4000000</f>
        <v>118607498</v>
      </c>
      <c r="AC115" s="29">
        <f t="shared" si="105"/>
        <v>0.77984927742185861</v>
      </c>
      <c r="AD115" s="27">
        <f t="shared" si="133"/>
        <v>338148494</v>
      </c>
      <c r="AE115" s="27"/>
      <c r="AF115" s="27"/>
      <c r="AG115" s="27">
        <f>+'[3]MAYO 2016'!$M$129</f>
        <v>294809318</v>
      </c>
      <c r="AH115" s="27"/>
      <c r="AI115" s="27"/>
      <c r="AJ115" s="27"/>
      <c r="AK115" s="27"/>
      <c r="AL115" s="27"/>
      <c r="AM115" s="27"/>
      <c r="AN115" s="27"/>
      <c r="AO115" s="27">
        <v>15000000</v>
      </c>
      <c r="AP115" s="27"/>
      <c r="AQ115" s="27"/>
      <c r="AR115" s="27"/>
      <c r="AS115" s="27"/>
      <c r="AT115" s="27"/>
      <c r="AU115" s="27"/>
      <c r="AV115" s="27"/>
      <c r="AW115" s="27"/>
      <c r="AX115" s="27">
        <f>+'[1]JUNIO 2016'!$AG$140</f>
        <v>28339176</v>
      </c>
      <c r="AY115" s="29">
        <f t="shared" si="107"/>
        <v>0.22015072257814139</v>
      </c>
      <c r="AZ115" s="27">
        <f t="shared" si="134"/>
        <v>95459004</v>
      </c>
      <c r="BA115" s="27">
        <f t="shared" si="135"/>
        <v>0</v>
      </c>
      <c r="BB115" s="27">
        <f t="shared" si="136"/>
        <v>0</v>
      </c>
      <c r="BC115" s="27">
        <f t="shared" si="136"/>
        <v>5190682</v>
      </c>
      <c r="BD115" s="27">
        <f t="shared" si="136"/>
        <v>0</v>
      </c>
      <c r="BE115" s="27">
        <f t="shared" si="137"/>
        <v>0</v>
      </c>
      <c r="BF115" s="27">
        <f t="shared" si="137"/>
        <v>0</v>
      </c>
      <c r="BG115" s="27">
        <f t="shared" si="137"/>
        <v>0</v>
      </c>
      <c r="BH115" s="27">
        <f t="shared" si="137"/>
        <v>0</v>
      </c>
      <c r="BI115" s="27">
        <f t="shared" si="137"/>
        <v>0</v>
      </c>
      <c r="BJ115" s="27">
        <f t="shared" si="137"/>
        <v>0</v>
      </c>
      <c r="BK115" s="27">
        <f t="shared" si="137"/>
        <v>0</v>
      </c>
      <c r="BL115" s="27">
        <f t="shared" si="137"/>
        <v>0</v>
      </c>
      <c r="BM115" s="27">
        <f t="shared" si="137"/>
        <v>0</v>
      </c>
      <c r="BN115" s="27">
        <f t="shared" si="137"/>
        <v>0</v>
      </c>
      <c r="BO115" s="27">
        <f t="shared" si="137"/>
        <v>0</v>
      </c>
      <c r="BP115" s="27">
        <f t="shared" si="137"/>
        <v>0</v>
      </c>
      <c r="BQ115" s="27"/>
      <c r="BR115" s="27"/>
      <c r="BS115" s="27">
        <f t="shared" si="138"/>
        <v>0</v>
      </c>
      <c r="BT115" s="27">
        <f t="shared" si="139"/>
        <v>90268322</v>
      </c>
      <c r="BU115" s="29">
        <f t="shared" si="114"/>
        <v>0.24311002574037591</v>
      </c>
      <c r="BV115" s="27">
        <f t="shared" si="140"/>
        <v>105414330</v>
      </c>
      <c r="BW115" s="27"/>
      <c r="BX115" s="27"/>
      <c r="BY115" s="27">
        <f>+'[1]JUNIO 2016'!$H$144+'[1]JUNIO 2016'!$H$146+'[1]JUNIO 2016'!$H$152+'[1]JUNIO 2016'!$H$153</f>
        <v>62075154</v>
      </c>
      <c r="BZ115" s="27"/>
      <c r="CA115" s="27"/>
      <c r="CB115" s="27"/>
      <c r="CC115" s="27"/>
      <c r="CD115" s="27"/>
      <c r="CE115" s="27"/>
      <c r="CF115" s="27"/>
      <c r="CG115" s="27">
        <f>+'[2]MARZO 2016 ULTIMO'!$H$88</f>
        <v>15000000</v>
      </c>
      <c r="CH115" s="27"/>
      <c r="CI115" s="27"/>
      <c r="CJ115" s="27"/>
      <c r="CK115" s="27"/>
      <c r="CL115" s="27"/>
      <c r="CM115" s="27"/>
      <c r="CN115" s="27"/>
      <c r="CO115" s="27"/>
      <c r="CP115" s="27">
        <f>+'[1]JUNIO 2016'!$H$148+'[1]JUNIO 2016'!$H$150+'[1]JUNIO 2016'!$H$157+'[1]JUNIO 2016'!$H$159</f>
        <v>28339176</v>
      </c>
      <c r="CQ115" s="29">
        <f t="shared" si="116"/>
        <v>0.75688997425962412</v>
      </c>
      <c r="CR115" s="27">
        <f t="shared" si="141"/>
        <v>328193168</v>
      </c>
      <c r="CS115" s="27">
        <f t="shared" si="142"/>
        <v>0</v>
      </c>
      <c r="CT115" s="27">
        <f t="shared" si="142"/>
        <v>0</v>
      </c>
      <c r="CU115" s="27">
        <f t="shared" si="142"/>
        <v>237924846</v>
      </c>
      <c r="CV115" s="27">
        <f t="shared" si="142"/>
        <v>0</v>
      </c>
      <c r="CW115" s="27">
        <f t="shared" si="142"/>
        <v>0</v>
      </c>
      <c r="CX115" s="27">
        <f t="shared" si="142"/>
        <v>0</v>
      </c>
      <c r="CY115" s="27">
        <f t="shared" si="142"/>
        <v>0</v>
      </c>
      <c r="CZ115" s="27">
        <f t="shared" si="143"/>
        <v>0</v>
      </c>
      <c r="DA115" s="27">
        <f t="shared" si="143"/>
        <v>0</v>
      </c>
      <c r="DB115" s="27">
        <f t="shared" si="143"/>
        <v>0</v>
      </c>
      <c r="DC115" s="27">
        <f t="shared" si="144"/>
        <v>0</v>
      </c>
      <c r="DD115" s="27">
        <f t="shared" si="144"/>
        <v>0</v>
      </c>
      <c r="DE115" s="27">
        <f t="shared" si="144"/>
        <v>0</v>
      </c>
      <c r="DF115" s="27">
        <f t="shared" si="145"/>
        <v>0</v>
      </c>
      <c r="DG115" s="27">
        <f t="shared" si="145"/>
        <v>0</v>
      </c>
      <c r="DH115" s="27">
        <f t="shared" si="145"/>
        <v>0</v>
      </c>
      <c r="DI115" s="27"/>
      <c r="DJ115" s="27">
        <f t="shared" si="146"/>
        <v>0</v>
      </c>
      <c r="DK115" s="27">
        <f t="shared" si="146"/>
        <v>0</v>
      </c>
      <c r="DL115" s="27">
        <f t="shared" si="146"/>
        <v>90268322</v>
      </c>
    </row>
    <row r="116" spans="1:116" ht="81" customHeight="1" x14ac:dyDescent="0.25">
      <c r="A116" s="236"/>
      <c r="B116" s="230"/>
      <c r="C116" s="75" t="s">
        <v>321</v>
      </c>
      <c r="D116" s="24" t="s">
        <v>322</v>
      </c>
      <c r="E116" s="98">
        <v>211</v>
      </c>
      <c r="F116" s="26" t="s">
        <v>320</v>
      </c>
      <c r="G116" s="27">
        <f t="shared" si="147"/>
        <v>107477711</v>
      </c>
      <c r="H116" s="27"/>
      <c r="I116" s="39"/>
      <c r="J116" s="27">
        <v>50000000</v>
      </c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>
        <f>47318981+5271083+155508+1089440+2317590+1325109</f>
        <v>57477711</v>
      </c>
      <c r="AC116" s="29">
        <f t="shared" si="105"/>
        <v>0.10116449167772097</v>
      </c>
      <c r="AD116" s="27">
        <f t="shared" si="133"/>
        <v>10872928</v>
      </c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>
        <f>+'[1]JUNIO 2016'!$AG$163</f>
        <v>10872928</v>
      </c>
      <c r="AY116" s="29">
        <f t="shared" si="107"/>
        <v>0.89883550832227899</v>
      </c>
      <c r="AZ116" s="27">
        <f t="shared" si="134"/>
        <v>96604783</v>
      </c>
      <c r="BA116" s="27">
        <f t="shared" si="135"/>
        <v>0</v>
      </c>
      <c r="BB116" s="27">
        <f t="shared" si="136"/>
        <v>0</v>
      </c>
      <c r="BC116" s="27">
        <f t="shared" si="136"/>
        <v>50000000</v>
      </c>
      <c r="BD116" s="27">
        <f t="shared" si="136"/>
        <v>0</v>
      </c>
      <c r="BE116" s="27">
        <f t="shared" si="137"/>
        <v>0</v>
      </c>
      <c r="BF116" s="27">
        <f t="shared" si="137"/>
        <v>0</v>
      </c>
      <c r="BG116" s="27">
        <f t="shared" si="137"/>
        <v>0</v>
      </c>
      <c r="BH116" s="27">
        <f t="shared" si="137"/>
        <v>0</v>
      </c>
      <c r="BI116" s="27">
        <f t="shared" si="137"/>
        <v>0</v>
      </c>
      <c r="BJ116" s="27">
        <f t="shared" si="137"/>
        <v>0</v>
      </c>
      <c r="BK116" s="27">
        <f t="shared" si="137"/>
        <v>0</v>
      </c>
      <c r="BL116" s="27">
        <f t="shared" si="137"/>
        <v>0</v>
      </c>
      <c r="BM116" s="27">
        <f t="shared" si="137"/>
        <v>0</v>
      </c>
      <c r="BN116" s="27">
        <f t="shared" si="137"/>
        <v>0</v>
      </c>
      <c r="BO116" s="27">
        <f t="shared" si="137"/>
        <v>0</v>
      </c>
      <c r="BP116" s="27">
        <f t="shared" si="137"/>
        <v>0</v>
      </c>
      <c r="BQ116" s="27"/>
      <c r="BR116" s="27"/>
      <c r="BS116" s="27">
        <f t="shared" si="138"/>
        <v>0</v>
      </c>
      <c r="BT116" s="27">
        <f t="shared" si="139"/>
        <v>46604783</v>
      </c>
      <c r="BU116" s="29">
        <f t="shared" si="114"/>
        <v>5.3278023384774172E-2</v>
      </c>
      <c r="BV116" s="27">
        <f t="shared" si="140"/>
        <v>5726200</v>
      </c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>
        <f>+'[1]JUNIO 2016'!$H$161</f>
        <v>5726200</v>
      </c>
      <c r="CQ116" s="29">
        <f t="shared" si="116"/>
        <v>0.94672197661522584</v>
      </c>
      <c r="CR116" s="27">
        <f t="shared" si="141"/>
        <v>101751511</v>
      </c>
      <c r="CS116" s="27">
        <f t="shared" si="142"/>
        <v>0</v>
      </c>
      <c r="CT116" s="27">
        <f t="shared" si="142"/>
        <v>0</v>
      </c>
      <c r="CU116" s="27">
        <f t="shared" si="142"/>
        <v>50000000</v>
      </c>
      <c r="CV116" s="27">
        <f t="shared" si="142"/>
        <v>0</v>
      </c>
      <c r="CW116" s="27">
        <f t="shared" si="142"/>
        <v>0</v>
      </c>
      <c r="CX116" s="27">
        <f t="shared" si="142"/>
        <v>0</v>
      </c>
      <c r="CY116" s="27">
        <f t="shared" si="142"/>
        <v>0</v>
      </c>
      <c r="CZ116" s="27">
        <f t="shared" si="143"/>
        <v>0</v>
      </c>
      <c r="DA116" s="27">
        <f t="shared" si="143"/>
        <v>0</v>
      </c>
      <c r="DB116" s="27">
        <f t="shared" si="143"/>
        <v>0</v>
      </c>
      <c r="DC116" s="27">
        <f t="shared" si="144"/>
        <v>0</v>
      </c>
      <c r="DD116" s="27">
        <f t="shared" si="144"/>
        <v>0</v>
      </c>
      <c r="DE116" s="27">
        <f t="shared" si="144"/>
        <v>0</v>
      </c>
      <c r="DF116" s="27">
        <f t="shared" si="145"/>
        <v>0</v>
      </c>
      <c r="DG116" s="27">
        <f t="shared" si="145"/>
        <v>0</v>
      </c>
      <c r="DH116" s="27">
        <f t="shared" si="145"/>
        <v>0</v>
      </c>
      <c r="DI116" s="27"/>
      <c r="DJ116" s="27">
        <f t="shared" si="146"/>
        <v>0</v>
      </c>
      <c r="DK116" s="27">
        <f t="shared" si="146"/>
        <v>0</v>
      </c>
      <c r="DL116" s="27">
        <f t="shared" si="146"/>
        <v>51751511</v>
      </c>
    </row>
    <row r="117" spans="1:116" ht="24.75" customHeight="1" x14ac:dyDescent="0.25">
      <c r="A117" s="236"/>
      <c r="B117" s="230"/>
      <c r="C117" s="75" t="s">
        <v>323</v>
      </c>
      <c r="D117" s="24" t="s">
        <v>324</v>
      </c>
      <c r="E117" s="98">
        <v>211</v>
      </c>
      <c r="F117" s="26" t="s">
        <v>325</v>
      </c>
      <c r="G117" s="27">
        <f t="shared" si="147"/>
        <v>3000000</v>
      </c>
      <c r="H117" s="27"/>
      <c r="I117" s="39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>
        <v>3000000</v>
      </c>
      <c r="AC117" s="29">
        <f t="shared" si="105"/>
        <v>1</v>
      </c>
      <c r="AD117" s="27">
        <f t="shared" si="133"/>
        <v>3000000</v>
      </c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>
        <v>3000000</v>
      </c>
      <c r="AY117" s="29">
        <f t="shared" si="107"/>
        <v>0</v>
      </c>
      <c r="AZ117" s="27">
        <f t="shared" si="134"/>
        <v>0</v>
      </c>
      <c r="BA117" s="27">
        <f t="shared" si="135"/>
        <v>0</v>
      </c>
      <c r="BB117" s="27">
        <f t="shared" si="136"/>
        <v>0</v>
      </c>
      <c r="BC117" s="27">
        <f t="shared" si="136"/>
        <v>0</v>
      </c>
      <c r="BD117" s="27">
        <f t="shared" si="136"/>
        <v>0</v>
      </c>
      <c r="BE117" s="27">
        <f t="shared" si="137"/>
        <v>0</v>
      </c>
      <c r="BF117" s="27">
        <f t="shared" si="137"/>
        <v>0</v>
      </c>
      <c r="BG117" s="27">
        <f t="shared" si="137"/>
        <v>0</v>
      </c>
      <c r="BH117" s="27">
        <f t="shared" si="137"/>
        <v>0</v>
      </c>
      <c r="BI117" s="27">
        <f t="shared" si="137"/>
        <v>0</v>
      </c>
      <c r="BJ117" s="27">
        <f t="shared" si="137"/>
        <v>0</v>
      </c>
      <c r="BK117" s="27">
        <f t="shared" si="137"/>
        <v>0</v>
      </c>
      <c r="BL117" s="27">
        <f t="shared" si="137"/>
        <v>0</v>
      </c>
      <c r="BM117" s="27">
        <f t="shared" si="137"/>
        <v>0</v>
      </c>
      <c r="BN117" s="27">
        <f t="shared" si="137"/>
        <v>0</v>
      </c>
      <c r="BO117" s="27">
        <f t="shared" si="137"/>
        <v>0</v>
      </c>
      <c r="BP117" s="27">
        <f t="shared" si="137"/>
        <v>0</v>
      </c>
      <c r="BQ117" s="27"/>
      <c r="BR117" s="27"/>
      <c r="BS117" s="27">
        <f t="shared" si="138"/>
        <v>0</v>
      </c>
      <c r="BT117" s="27">
        <f t="shared" si="139"/>
        <v>0</v>
      </c>
      <c r="BU117" s="29">
        <f t="shared" si="114"/>
        <v>0.99367266666666665</v>
      </c>
      <c r="BV117" s="27">
        <f t="shared" si="140"/>
        <v>2981018</v>
      </c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>
        <v>2981018</v>
      </c>
      <c r="CQ117" s="29">
        <f t="shared" si="116"/>
        <v>6.3273333333333515E-3</v>
      </c>
      <c r="CR117" s="27">
        <f t="shared" si="141"/>
        <v>18982</v>
      </c>
      <c r="CS117" s="27">
        <f t="shared" si="142"/>
        <v>0</v>
      </c>
      <c r="CT117" s="27">
        <f t="shared" si="142"/>
        <v>0</v>
      </c>
      <c r="CU117" s="27">
        <f t="shared" si="142"/>
        <v>0</v>
      </c>
      <c r="CV117" s="27">
        <f t="shared" si="142"/>
        <v>0</v>
      </c>
      <c r="CW117" s="27">
        <f t="shared" si="142"/>
        <v>0</v>
      </c>
      <c r="CX117" s="27">
        <f t="shared" si="142"/>
        <v>0</v>
      </c>
      <c r="CY117" s="27">
        <f t="shared" si="142"/>
        <v>0</v>
      </c>
      <c r="CZ117" s="27">
        <f t="shared" si="143"/>
        <v>0</v>
      </c>
      <c r="DA117" s="27">
        <f t="shared" si="143"/>
        <v>0</v>
      </c>
      <c r="DB117" s="27">
        <f t="shared" si="143"/>
        <v>0</v>
      </c>
      <c r="DC117" s="27">
        <f t="shared" si="144"/>
        <v>0</v>
      </c>
      <c r="DD117" s="27">
        <f t="shared" si="144"/>
        <v>0</v>
      </c>
      <c r="DE117" s="27">
        <f t="shared" si="144"/>
        <v>0</v>
      </c>
      <c r="DF117" s="27">
        <f t="shared" si="145"/>
        <v>0</v>
      </c>
      <c r="DG117" s="27">
        <f t="shared" si="145"/>
        <v>0</v>
      </c>
      <c r="DH117" s="27">
        <f t="shared" si="145"/>
        <v>0</v>
      </c>
      <c r="DI117" s="27"/>
      <c r="DJ117" s="27">
        <f t="shared" si="146"/>
        <v>0</v>
      </c>
      <c r="DK117" s="27">
        <f t="shared" si="146"/>
        <v>0</v>
      </c>
      <c r="DL117" s="27">
        <f t="shared" si="146"/>
        <v>18982</v>
      </c>
    </row>
    <row r="118" spans="1:116" ht="20.25" customHeight="1" x14ac:dyDescent="0.25">
      <c r="A118" s="236"/>
      <c r="B118" s="230"/>
      <c r="C118" s="75" t="s">
        <v>326</v>
      </c>
      <c r="D118" s="24" t="s">
        <v>327</v>
      </c>
      <c r="E118" s="98">
        <v>211</v>
      </c>
      <c r="F118" s="26" t="s">
        <v>75</v>
      </c>
      <c r="G118" s="27">
        <f t="shared" si="147"/>
        <v>5846336</v>
      </c>
      <c r="H118" s="27"/>
      <c r="I118" s="39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>
        <f>5000000+846336</f>
        <v>5846336</v>
      </c>
      <c r="AC118" s="29">
        <f t="shared" si="105"/>
        <v>0.49506990361142433</v>
      </c>
      <c r="AD118" s="27">
        <f t="shared" si="133"/>
        <v>2894345</v>
      </c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>
        <f>+'[1]JUNIO 2016'!$AG$179</f>
        <v>2894345</v>
      </c>
      <c r="AY118" s="29">
        <f t="shared" si="107"/>
        <v>0.50493009638857567</v>
      </c>
      <c r="AZ118" s="27">
        <f t="shared" si="134"/>
        <v>2951991</v>
      </c>
      <c r="BA118" s="27">
        <f t="shared" si="135"/>
        <v>0</v>
      </c>
      <c r="BB118" s="27">
        <f t="shared" si="136"/>
        <v>0</v>
      </c>
      <c r="BC118" s="27">
        <f t="shared" si="136"/>
        <v>0</v>
      </c>
      <c r="BD118" s="27">
        <f t="shared" si="136"/>
        <v>0</v>
      </c>
      <c r="BE118" s="27">
        <f t="shared" si="137"/>
        <v>0</v>
      </c>
      <c r="BF118" s="27">
        <f t="shared" si="137"/>
        <v>0</v>
      </c>
      <c r="BG118" s="27">
        <f t="shared" si="137"/>
        <v>0</v>
      </c>
      <c r="BH118" s="27">
        <f t="shared" si="137"/>
        <v>0</v>
      </c>
      <c r="BI118" s="27">
        <f t="shared" si="137"/>
        <v>0</v>
      </c>
      <c r="BJ118" s="27">
        <f t="shared" si="137"/>
        <v>0</v>
      </c>
      <c r="BK118" s="27">
        <f t="shared" si="137"/>
        <v>0</v>
      </c>
      <c r="BL118" s="27">
        <f t="shared" si="137"/>
        <v>0</v>
      </c>
      <c r="BM118" s="27">
        <f t="shared" si="137"/>
        <v>0</v>
      </c>
      <c r="BN118" s="27">
        <f t="shared" si="137"/>
        <v>0</v>
      </c>
      <c r="BO118" s="27">
        <f t="shared" si="137"/>
        <v>0</v>
      </c>
      <c r="BP118" s="27">
        <f t="shared" si="137"/>
        <v>0</v>
      </c>
      <c r="BQ118" s="27"/>
      <c r="BR118" s="27"/>
      <c r="BS118" s="27">
        <f t="shared" si="138"/>
        <v>0</v>
      </c>
      <c r="BT118" s="27">
        <f t="shared" si="139"/>
        <v>2951991</v>
      </c>
      <c r="BU118" s="29">
        <f t="shared" si="114"/>
        <v>0.49506990361142433</v>
      </c>
      <c r="BV118" s="27">
        <f t="shared" si="140"/>
        <v>2894345</v>
      </c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>
        <f>+'[1]JUNIO 2016'!$H$177</f>
        <v>2894345</v>
      </c>
      <c r="CQ118" s="29">
        <f t="shared" si="116"/>
        <v>0.50493009638857567</v>
      </c>
      <c r="CR118" s="27">
        <f t="shared" si="141"/>
        <v>2951991</v>
      </c>
      <c r="CS118" s="27">
        <f t="shared" si="142"/>
        <v>0</v>
      </c>
      <c r="CT118" s="27">
        <f t="shared" si="142"/>
        <v>0</v>
      </c>
      <c r="CU118" s="27">
        <f t="shared" si="142"/>
        <v>0</v>
      </c>
      <c r="CV118" s="27">
        <f t="shared" si="142"/>
        <v>0</v>
      </c>
      <c r="CW118" s="27">
        <f t="shared" si="142"/>
        <v>0</v>
      </c>
      <c r="CX118" s="27">
        <f t="shared" si="142"/>
        <v>0</v>
      </c>
      <c r="CY118" s="27">
        <f t="shared" si="142"/>
        <v>0</v>
      </c>
      <c r="CZ118" s="27">
        <f t="shared" si="143"/>
        <v>0</v>
      </c>
      <c r="DA118" s="27">
        <f t="shared" si="143"/>
        <v>0</v>
      </c>
      <c r="DB118" s="27">
        <f t="shared" si="143"/>
        <v>0</v>
      </c>
      <c r="DC118" s="27">
        <f t="shared" si="144"/>
        <v>0</v>
      </c>
      <c r="DD118" s="27">
        <f t="shared" si="144"/>
        <v>0</v>
      </c>
      <c r="DE118" s="27">
        <f t="shared" si="144"/>
        <v>0</v>
      </c>
      <c r="DF118" s="27">
        <f t="shared" si="145"/>
        <v>0</v>
      </c>
      <c r="DG118" s="27">
        <f t="shared" si="145"/>
        <v>0</v>
      </c>
      <c r="DH118" s="27">
        <f t="shared" si="145"/>
        <v>0</v>
      </c>
      <c r="DI118" s="27"/>
      <c r="DJ118" s="27">
        <f t="shared" si="146"/>
        <v>0</v>
      </c>
      <c r="DK118" s="27">
        <f t="shared" si="146"/>
        <v>0</v>
      </c>
      <c r="DL118" s="27">
        <f t="shared" si="146"/>
        <v>2951991</v>
      </c>
    </row>
    <row r="119" spans="1:116" s="64" customFormat="1" ht="17.25" customHeight="1" x14ac:dyDescent="0.25">
      <c r="A119" s="236"/>
      <c r="B119" s="230"/>
      <c r="C119" s="62" t="s">
        <v>328</v>
      </c>
      <c r="D119" s="24" t="s">
        <v>329</v>
      </c>
      <c r="E119" s="96">
        <v>211</v>
      </c>
      <c r="F119" s="26" t="s">
        <v>309</v>
      </c>
      <c r="G119" s="27">
        <f t="shared" si="147"/>
        <v>325200000</v>
      </c>
      <c r="H119" s="61"/>
      <c r="I119" s="32"/>
      <c r="J119" s="61">
        <f>296464791+28735209</f>
        <v>325200000</v>
      </c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>
        <f>28735209-28735209</f>
        <v>0</v>
      </c>
      <c r="W119" s="27"/>
      <c r="X119" s="27"/>
      <c r="Y119" s="27"/>
      <c r="Z119" s="27"/>
      <c r="AA119" s="27"/>
      <c r="AC119" s="65">
        <f t="shared" si="105"/>
        <v>0.5840385270602706</v>
      </c>
      <c r="AD119" s="27">
        <f t="shared" si="133"/>
        <v>189929329</v>
      </c>
      <c r="AE119" s="61"/>
      <c r="AF119" s="61"/>
      <c r="AG119" s="61">
        <f>+'[1]JUNIO 2016'!$M$187</f>
        <v>189929329</v>
      </c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5">
        <f t="shared" si="107"/>
        <v>0.4159614729397294</v>
      </c>
      <c r="AZ119" s="27">
        <f t="shared" si="134"/>
        <v>135270671</v>
      </c>
      <c r="BA119" s="27">
        <f t="shared" si="135"/>
        <v>0</v>
      </c>
      <c r="BB119" s="61">
        <f t="shared" si="136"/>
        <v>0</v>
      </c>
      <c r="BC119" s="61">
        <f t="shared" si="136"/>
        <v>135270671</v>
      </c>
      <c r="BD119" s="61">
        <f t="shared" si="136"/>
        <v>0</v>
      </c>
      <c r="BE119" s="61">
        <f t="shared" si="137"/>
        <v>0</v>
      </c>
      <c r="BF119" s="61">
        <f t="shared" si="137"/>
        <v>0</v>
      </c>
      <c r="BG119" s="27">
        <f t="shared" si="137"/>
        <v>0</v>
      </c>
      <c r="BH119" s="61">
        <f t="shared" si="137"/>
        <v>0</v>
      </c>
      <c r="BI119" s="61">
        <f t="shared" si="137"/>
        <v>0</v>
      </c>
      <c r="BJ119" s="61">
        <f t="shared" si="137"/>
        <v>0</v>
      </c>
      <c r="BK119" s="61">
        <f t="shared" si="137"/>
        <v>0</v>
      </c>
      <c r="BL119" s="61">
        <f t="shared" si="137"/>
        <v>0</v>
      </c>
      <c r="BM119" s="61">
        <f t="shared" si="137"/>
        <v>0</v>
      </c>
      <c r="BN119" s="61">
        <f t="shared" si="137"/>
        <v>0</v>
      </c>
      <c r="BO119" s="61">
        <f t="shared" si="137"/>
        <v>0</v>
      </c>
      <c r="BP119" s="61">
        <f t="shared" si="137"/>
        <v>0</v>
      </c>
      <c r="BQ119" s="61"/>
      <c r="BR119" s="61"/>
      <c r="BS119" s="27">
        <f t="shared" si="138"/>
        <v>0</v>
      </c>
      <c r="BT119" s="61">
        <f t="shared" si="139"/>
        <v>0</v>
      </c>
      <c r="BU119" s="65">
        <f t="shared" si="114"/>
        <v>0.1580639606396064</v>
      </c>
      <c r="BV119" s="27">
        <f t="shared" si="140"/>
        <v>51402400</v>
      </c>
      <c r="BW119" s="61"/>
      <c r="BX119" s="61"/>
      <c r="BY119" s="61">
        <f>+'[3]MAYO 2016'!$H$166</f>
        <v>51402400</v>
      </c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5">
        <f t="shared" si="116"/>
        <v>0.84193603936039363</v>
      </c>
      <c r="CR119" s="27">
        <f t="shared" si="141"/>
        <v>273797600</v>
      </c>
      <c r="CS119" s="27">
        <f t="shared" si="142"/>
        <v>0</v>
      </c>
      <c r="CT119" s="27">
        <f t="shared" si="142"/>
        <v>0</v>
      </c>
      <c r="CU119" s="61">
        <f t="shared" si="142"/>
        <v>273797600</v>
      </c>
      <c r="CV119" s="61">
        <f t="shared" si="142"/>
        <v>0</v>
      </c>
      <c r="CW119" s="61">
        <f t="shared" si="142"/>
        <v>0</v>
      </c>
      <c r="CX119" s="61">
        <f t="shared" si="142"/>
        <v>0</v>
      </c>
      <c r="CY119" s="27">
        <f t="shared" si="142"/>
        <v>0</v>
      </c>
      <c r="CZ119" s="61">
        <f t="shared" si="143"/>
        <v>0</v>
      </c>
      <c r="DA119" s="61">
        <f t="shared" si="143"/>
        <v>0</v>
      </c>
      <c r="DB119" s="27">
        <f t="shared" si="143"/>
        <v>0</v>
      </c>
      <c r="DC119" s="61">
        <f t="shared" si="144"/>
        <v>0</v>
      </c>
      <c r="DD119" s="61">
        <f t="shared" si="144"/>
        <v>0</v>
      </c>
      <c r="DE119" s="61">
        <f t="shared" si="144"/>
        <v>0</v>
      </c>
      <c r="DF119" s="61">
        <f t="shared" si="145"/>
        <v>0</v>
      </c>
      <c r="DG119" s="61">
        <f t="shared" si="145"/>
        <v>0</v>
      </c>
      <c r="DH119" s="61">
        <f t="shared" si="145"/>
        <v>0</v>
      </c>
      <c r="DI119" s="61"/>
      <c r="DJ119" s="61">
        <f t="shared" si="146"/>
        <v>0</v>
      </c>
      <c r="DK119" s="61">
        <f t="shared" si="146"/>
        <v>0</v>
      </c>
      <c r="DL119" s="61">
        <f t="shared" si="146"/>
        <v>0</v>
      </c>
    </row>
    <row r="120" spans="1:116" s="64" customFormat="1" ht="17.25" customHeight="1" x14ac:dyDescent="0.25">
      <c r="A120" s="236"/>
      <c r="B120" s="231"/>
      <c r="C120" s="62" t="s">
        <v>330</v>
      </c>
      <c r="D120" s="24" t="s">
        <v>331</v>
      </c>
      <c r="E120" s="96">
        <v>211</v>
      </c>
      <c r="F120" s="26" t="s">
        <v>309</v>
      </c>
      <c r="G120" s="27">
        <f t="shared" si="147"/>
        <v>250000000</v>
      </c>
      <c r="H120" s="61"/>
      <c r="I120" s="32"/>
      <c r="J120" s="61"/>
      <c r="K120" s="27"/>
      <c r="L120" s="27"/>
      <c r="M120" s="27"/>
      <c r="N120" s="27"/>
      <c r="O120" s="27"/>
      <c r="P120" s="27"/>
      <c r="Q120" s="27"/>
      <c r="R120" s="27"/>
      <c r="S120" s="27"/>
      <c r="T120" s="27">
        <v>250000000</v>
      </c>
      <c r="U120" s="27"/>
      <c r="V120" s="27"/>
      <c r="W120" s="27"/>
      <c r="X120" s="27"/>
      <c r="Y120" s="27"/>
      <c r="Z120" s="27"/>
      <c r="AA120" s="27"/>
      <c r="AC120" s="65">
        <f t="shared" si="105"/>
        <v>1</v>
      </c>
      <c r="AD120" s="27">
        <f t="shared" si="133"/>
        <v>250000000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>
        <f>+'[1]JUNIO 2016'!$W$197</f>
        <v>250000000</v>
      </c>
      <c r="AR120" s="61"/>
      <c r="AS120" s="61"/>
      <c r="AT120" s="61"/>
      <c r="AU120" s="61"/>
      <c r="AV120" s="61"/>
      <c r="AW120" s="61"/>
      <c r="AX120" s="61"/>
      <c r="AY120" s="65">
        <f t="shared" si="107"/>
        <v>0</v>
      </c>
      <c r="AZ120" s="27">
        <f t="shared" si="134"/>
        <v>0</v>
      </c>
      <c r="BA120" s="27">
        <f t="shared" si="135"/>
        <v>0</v>
      </c>
      <c r="BB120" s="61">
        <f t="shared" si="136"/>
        <v>0</v>
      </c>
      <c r="BC120" s="61">
        <f t="shared" si="136"/>
        <v>0</v>
      </c>
      <c r="BD120" s="61">
        <f t="shared" si="136"/>
        <v>0</v>
      </c>
      <c r="BE120" s="61">
        <f t="shared" si="136"/>
        <v>0</v>
      </c>
      <c r="BF120" s="61">
        <f t="shared" si="136"/>
        <v>0</v>
      </c>
      <c r="BG120" s="61">
        <f t="shared" si="136"/>
        <v>0</v>
      </c>
      <c r="BH120" s="61">
        <f t="shared" si="136"/>
        <v>0</v>
      </c>
      <c r="BI120" s="61">
        <f t="shared" si="136"/>
        <v>0</v>
      </c>
      <c r="BJ120" s="61">
        <f t="shared" si="136"/>
        <v>0</v>
      </c>
      <c r="BK120" s="61">
        <f t="shared" si="136"/>
        <v>0</v>
      </c>
      <c r="BL120" s="61">
        <f t="shared" si="136"/>
        <v>0</v>
      </c>
      <c r="BM120" s="61">
        <f t="shared" si="136"/>
        <v>0</v>
      </c>
      <c r="BN120" s="61">
        <f t="shared" si="136"/>
        <v>0</v>
      </c>
      <c r="BO120" s="61">
        <f t="shared" si="136"/>
        <v>0</v>
      </c>
      <c r="BP120" s="61">
        <f t="shared" si="136"/>
        <v>0</v>
      </c>
      <c r="BQ120" s="61"/>
      <c r="BR120" s="61">
        <f>Y120-AV120</f>
        <v>0</v>
      </c>
      <c r="BS120" s="27">
        <f t="shared" si="138"/>
        <v>0</v>
      </c>
      <c r="BT120" s="61">
        <f>AA120-AX120</f>
        <v>0</v>
      </c>
      <c r="BU120" s="65">
        <f t="shared" si="114"/>
        <v>0.45569890400000002</v>
      </c>
      <c r="BV120" s="27">
        <f t="shared" si="140"/>
        <v>113924726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>
        <f>+'[1]JUNIO 2016'!$H$195</f>
        <v>113924726</v>
      </c>
      <c r="CJ120" s="61"/>
      <c r="CK120" s="61"/>
      <c r="CL120" s="61"/>
      <c r="CM120" s="61"/>
      <c r="CN120" s="61"/>
      <c r="CO120" s="61"/>
      <c r="CP120" s="61"/>
      <c r="CQ120" s="65">
        <f t="shared" si="116"/>
        <v>0.54430109599999998</v>
      </c>
      <c r="CR120" s="27">
        <f t="shared" si="141"/>
        <v>136075274</v>
      </c>
      <c r="CS120" s="27">
        <f t="shared" si="142"/>
        <v>0</v>
      </c>
      <c r="CT120" s="27">
        <f t="shared" si="142"/>
        <v>0</v>
      </c>
      <c r="CU120" s="27">
        <f t="shared" si="142"/>
        <v>0</v>
      </c>
      <c r="CV120" s="27">
        <f t="shared" si="142"/>
        <v>0</v>
      </c>
      <c r="CW120" s="27">
        <f t="shared" si="142"/>
        <v>0</v>
      </c>
      <c r="CX120" s="27">
        <f t="shared" si="142"/>
        <v>0</v>
      </c>
      <c r="CY120" s="27">
        <f t="shared" si="142"/>
        <v>0</v>
      </c>
      <c r="CZ120" s="27">
        <f>O120-CD120</f>
        <v>0</v>
      </c>
      <c r="DA120" s="27">
        <f>P120-CE120</f>
        <v>0</v>
      </c>
      <c r="DB120" s="27">
        <f>Q120-CF120</f>
        <v>0</v>
      </c>
      <c r="DC120" s="27">
        <f t="shared" si="144"/>
        <v>0</v>
      </c>
      <c r="DD120" s="27">
        <f t="shared" si="144"/>
        <v>0</v>
      </c>
      <c r="DE120" s="27">
        <f t="shared" si="144"/>
        <v>136075274</v>
      </c>
      <c r="DF120" s="27">
        <f>U120-CJ120</f>
        <v>0</v>
      </c>
      <c r="DG120" s="27">
        <f>V120-CK120</f>
        <v>0</v>
      </c>
      <c r="DH120" s="27">
        <f>W120-CL120</f>
        <v>0</v>
      </c>
      <c r="DI120" s="27"/>
      <c r="DJ120" s="27">
        <f>Y120-CN120</f>
        <v>0</v>
      </c>
      <c r="DK120" s="27">
        <f>Z120-CO120</f>
        <v>0</v>
      </c>
      <c r="DL120" s="27">
        <f>AA120-CP120</f>
        <v>0</v>
      </c>
    </row>
    <row r="121" spans="1:116" s="64" customFormat="1" ht="33" customHeight="1" x14ac:dyDescent="0.25">
      <c r="A121" s="101"/>
      <c r="B121" s="24" t="s">
        <v>332</v>
      </c>
      <c r="C121" s="62" t="s">
        <v>333</v>
      </c>
      <c r="D121" s="24" t="s">
        <v>367</v>
      </c>
      <c r="E121" s="96" t="s">
        <v>334</v>
      </c>
      <c r="F121" s="26" t="s">
        <v>309</v>
      </c>
      <c r="G121" s="27">
        <f t="shared" si="147"/>
        <v>3185000000</v>
      </c>
      <c r="H121" s="61"/>
      <c r="I121" s="32"/>
      <c r="J121" s="61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>
        <f>485000000</f>
        <v>485000000</v>
      </c>
      <c r="V121" s="27"/>
      <c r="W121" s="27"/>
      <c r="X121" s="27"/>
      <c r="Y121" s="27">
        <v>2700000000</v>
      </c>
      <c r="Z121" s="27"/>
      <c r="AA121" s="27"/>
      <c r="AC121" s="65">
        <f t="shared" si="105"/>
        <v>1</v>
      </c>
      <c r="AD121" s="27">
        <f t="shared" si="133"/>
        <v>3185000000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>
        <f>+'[4]ABRIL 2016'!$X$1694</f>
        <v>485000000</v>
      </c>
      <c r="AS121" s="61"/>
      <c r="AT121" s="61"/>
      <c r="AU121" s="61"/>
      <c r="AV121" s="61">
        <f>+'[7]MARZO 2016 ULTIMO'!$AA$1371</f>
        <v>2700000000</v>
      </c>
      <c r="AW121" s="61"/>
      <c r="AX121" s="61"/>
      <c r="AY121" s="65">
        <f t="shared" si="107"/>
        <v>0</v>
      </c>
      <c r="AZ121" s="27">
        <f t="shared" si="134"/>
        <v>0</v>
      </c>
      <c r="BA121" s="27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>
        <f>U121-AR121</f>
        <v>0</v>
      </c>
      <c r="BO121" s="61"/>
      <c r="BP121" s="61"/>
      <c r="BQ121" s="61"/>
      <c r="BR121" s="61">
        <f>Y121-AV121</f>
        <v>0</v>
      </c>
      <c r="BS121" s="27"/>
      <c r="BT121" s="61"/>
      <c r="BU121" s="65">
        <f t="shared" si="114"/>
        <v>0.25496371679748825</v>
      </c>
      <c r="BV121" s="27">
        <f t="shared" si="140"/>
        <v>812059438</v>
      </c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>
        <f>+'[3]MAYO 2016'!$H$1940</f>
        <v>359172189</v>
      </c>
      <c r="CK121" s="61"/>
      <c r="CL121" s="61"/>
      <c r="CM121" s="61"/>
      <c r="CN121" s="61">
        <f>+'[3]MAYO 2016'!$H$1948</f>
        <v>452887249</v>
      </c>
      <c r="CO121" s="61"/>
      <c r="CP121" s="61"/>
      <c r="CQ121" s="65">
        <f t="shared" si="116"/>
        <v>0.7450362832025117</v>
      </c>
      <c r="CR121" s="27">
        <f t="shared" si="141"/>
        <v>2372940562</v>
      </c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>
        <f>U121-CJ121</f>
        <v>125827811</v>
      </c>
      <c r="DG121" s="27"/>
      <c r="DH121" s="27"/>
      <c r="DI121" s="27"/>
      <c r="DJ121" s="27">
        <f>Y121-CN121</f>
        <v>2247112751</v>
      </c>
      <c r="DK121" s="27"/>
      <c r="DL121" s="27"/>
    </row>
    <row r="122" spans="1:116" ht="29.25" customHeight="1" x14ac:dyDescent="0.25">
      <c r="A122" s="236" t="s">
        <v>299</v>
      </c>
      <c r="B122" s="229" t="s">
        <v>335</v>
      </c>
      <c r="C122" s="75" t="s">
        <v>336</v>
      </c>
      <c r="D122" s="24" t="s">
        <v>337</v>
      </c>
      <c r="E122" s="98">
        <v>510</v>
      </c>
      <c r="F122" s="26" t="s">
        <v>338</v>
      </c>
      <c r="G122" s="27">
        <f t="shared" si="147"/>
        <v>95000000</v>
      </c>
      <c r="H122" s="27"/>
      <c r="I122" s="27"/>
      <c r="J122" s="27"/>
      <c r="K122" s="27"/>
      <c r="L122" s="27">
        <v>95000000</v>
      </c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9">
        <f t="shared" si="105"/>
        <v>0.80492631578947371</v>
      </c>
      <c r="AD122" s="27">
        <f t="shared" si="133"/>
        <v>76468000</v>
      </c>
      <c r="AE122" s="27"/>
      <c r="AF122" s="27"/>
      <c r="AG122" s="27"/>
      <c r="AH122" s="27"/>
      <c r="AI122" s="27">
        <f>+'[1]JUNIO 2016'!$O$1664</f>
        <v>76468000</v>
      </c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9">
        <f t="shared" si="107"/>
        <v>0.19507368421052629</v>
      </c>
      <c r="AZ122" s="27">
        <f t="shared" si="134"/>
        <v>18532000</v>
      </c>
      <c r="BA122" s="27">
        <f t="shared" ref="BA122:BA127" si="148">+H122</f>
        <v>0</v>
      </c>
      <c r="BB122" s="27">
        <f t="shared" ref="BB122:BD127" si="149">I122-AF122</f>
        <v>0</v>
      </c>
      <c r="BC122" s="27">
        <f t="shared" si="149"/>
        <v>0</v>
      </c>
      <c r="BD122" s="27">
        <f t="shared" si="149"/>
        <v>0</v>
      </c>
      <c r="BE122" s="27">
        <f t="shared" ref="BE122:BP127" si="150">+L122-AI122</f>
        <v>18532000</v>
      </c>
      <c r="BF122" s="27">
        <f t="shared" si="150"/>
        <v>0</v>
      </c>
      <c r="BG122" s="27">
        <f t="shared" si="150"/>
        <v>0</v>
      </c>
      <c r="BH122" s="27">
        <f t="shared" si="150"/>
        <v>0</v>
      </c>
      <c r="BI122" s="27">
        <f t="shared" si="150"/>
        <v>0</v>
      </c>
      <c r="BJ122" s="27">
        <f t="shared" si="150"/>
        <v>0</v>
      </c>
      <c r="BK122" s="27">
        <f t="shared" si="150"/>
        <v>0</v>
      </c>
      <c r="BL122" s="27">
        <f t="shared" si="150"/>
        <v>0</v>
      </c>
      <c r="BM122" s="27">
        <f t="shared" si="150"/>
        <v>0</v>
      </c>
      <c r="BN122" s="27">
        <f t="shared" si="150"/>
        <v>0</v>
      </c>
      <c r="BO122" s="27">
        <f t="shared" si="150"/>
        <v>0</v>
      </c>
      <c r="BP122" s="27">
        <f t="shared" si="150"/>
        <v>0</v>
      </c>
      <c r="BQ122" s="27"/>
      <c r="BR122" s="27"/>
      <c r="BS122" s="27">
        <f t="shared" ref="BS122:BS127" si="151">Z122-AW122</f>
        <v>0</v>
      </c>
      <c r="BT122" s="27">
        <f t="shared" ref="BT122:BT127" si="152">+AA122-AX122</f>
        <v>0</v>
      </c>
      <c r="BU122" s="29">
        <f t="shared" si="114"/>
        <v>0.54256421052631576</v>
      </c>
      <c r="BV122" s="27">
        <f t="shared" si="140"/>
        <v>51543600</v>
      </c>
      <c r="BW122" s="27"/>
      <c r="BX122" s="27"/>
      <c r="BY122" s="27"/>
      <c r="BZ122" s="27"/>
      <c r="CA122" s="27">
        <f>+'[1]JUNIO 2016'!$H$1662</f>
        <v>51543600</v>
      </c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9">
        <f t="shared" si="116"/>
        <v>0.45743578947368424</v>
      </c>
      <c r="CR122" s="27">
        <f t="shared" si="141"/>
        <v>43456400</v>
      </c>
      <c r="CS122" s="27">
        <f t="shared" ref="CS122:CY127" si="153">H122-BW122</f>
        <v>0</v>
      </c>
      <c r="CT122" s="27">
        <f t="shared" si="153"/>
        <v>0</v>
      </c>
      <c r="CU122" s="27">
        <f t="shared" si="153"/>
        <v>0</v>
      </c>
      <c r="CV122" s="27">
        <f t="shared" si="153"/>
        <v>0</v>
      </c>
      <c r="CW122" s="27">
        <f t="shared" si="153"/>
        <v>43456400</v>
      </c>
      <c r="CX122" s="27">
        <f t="shared" si="153"/>
        <v>0</v>
      </c>
      <c r="CY122" s="27">
        <f t="shared" si="153"/>
        <v>0</v>
      </c>
      <c r="CZ122" s="27">
        <f t="shared" ref="CZ122:DB127" si="154">+O122-CD122</f>
        <v>0</v>
      </c>
      <c r="DA122" s="27">
        <f t="shared" si="154"/>
        <v>0</v>
      </c>
      <c r="DB122" s="27">
        <f t="shared" si="154"/>
        <v>0</v>
      </c>
      <c r="DC122" s="27">
        <f t="shared" ref="DC122:DE127" si="155">R122-CG122</f>
        <v>0</v>
      </c>
      <c r="DD122" s="27">
        <f t="shared" si="155"/>
        <v>0</v>
      </c>
      <c r="DE122" s="27">
        <f t="shared" si="155"/>
        <v>0</v>
      </c>
      <c r="DF122" s="27">
        <f t="shared" ref="DF122:DH127" si="156">+U122-CJ122</f>
        <v>0</v>
      </c>
      <c r="DG122" s="27">
        <f t="shared" si="156"/>
        <v>0</v>
      </c>
      <c r="DH122" s="27">
        <f t="shared" si="156"/>
        <v>0</v>
      </c>
      <c r="DI122" s="27"/>
      <c r="DJ122" s="27">
        <f t="shared" ref="DJ122:DL127" si="157">+Y122-CN122</f>
        <v>0</v>
      </c>
      <c r="DK122" s="27">
        <f t="shared" si="157"/>
        <v>0</v>
      </c>
      <c r="DL122" s="27">
        <f t="shared" si="157"/>
        <v>0</v>
      </c>
    </row>
    <row r="123" spans="1:116" ht="38.25" customHeight="1" x14ac:dyDescent="0.25">
      <c r="A123" s="236"/>
      <c r="B123" s="230"/>
      <c r="C123" s="75" t="s">
        <v>339</v>
      </c>
      <c r="D123" s="24" t="s">
        <v>340</v>
      </c>
      <c r="E123" s="98">
        <v>510</v>
      </c>
      <c r="F123" s="26" t="s">
        <v>338</v>
      </c>
      <c r="G123" s="27">
        <f t="shared" si="147"/>
        <v>102000000</v>
      </c>
      <c r="H123" s="27"/>
      <c r="I123" s="27"/>
      <c r="J123" s="27"/>
      <c r="K123" s="27"/>
      <c r="L123" s="27">
        <v>102000000</v>
      </c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C123" s="29">
        <f t="shared" si="105"/>
        <v>0.94607843137254899</v>
      </c>
      <c r="AD123" s="27">
        <f t="shared" si="133"/>
        <v>96500000</v>
      </c>
      <c r="AE123" s="27"/>
      <c r="AF123" s="27"/>
      <c r="AG123" s="27"/>
      <c r="AH123" s="27"/>
      <c r="AI123" s="27">
        <f>+'[1]JUNIO 2016'!$O$1677</f>
        <v>96500000</v>
      </c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9">
        <f t="shared" si="107"/>
        <v>5.3921568627451011E-2</v>
      </c>
      <c r="AZ123" s="27">
        <f t="shared" si="134"/>
        <v>5500000</v>
      </c>
      <c r="BA123" s="27">
        <f t="shared" si="148"/>
        <v>0</v>
      </c>
      <c r="BB123" s="27">
        <f t="shared" si="149"/>
        <v>0</v>
      </c>
      <c r="BC123" s="27">
        <f t="shared" si="149"/>
        <v>0</v>
      </c>
      <c r="BD123" s="27">
        <f t="shared" si="149"/>
        <v>0</v>
      </c>
      <c r="BE123" s="27">
        <f t="shared" si="150"/>
        <v>5500000</v>
      </c>
      <c r="BF123" s="27">
        <f t="shared" si="150"/>
        <v>0</v>
      </c>
      <c r="BG123" s="27">
        <f t="shared" si="150"/>
        <v>0</v>
      </c>
      <c r="BH123" s="27">
        <f t="shared" si="150"/>
        <v>0</v>
      </c>
      <c r="BI123" s="27">
        <f t="shared" si="150"/>
        <v>0</v>
      </c>
      <c r="BJ123" s="27">
        <f t="shared" si="150"/>
        <v>0</v>
      </c>
      <c r="BK123" s="27">
        <f t="shared" si="150"/>
        <v>0</v>
      </c>
      <c r="BL123" s="27">
        <f t="shared" si="150"/>
        <v>0</v>
      </c>
      <c r="BM123" s="27">
        <f t="shared" si="150"/>
        <v>0</v>
      </c>
      <c r="BN123" s="27">
        <f t="shared" si="150"/>
        <v>0</v>
      </c>
      <c r="BO123" s="27">
        <f t="shared" si="150"/>
        <v>0</v>
      </c>
      <c r="BP123" s="27">
        <f t="shared" si="150"/>
        <v>0</v>
      </c>
      <c r="BQ123" s="27"/>
      <c r="BR123" s="27"/>
      <c r="BS123" s="27">
        <f t="shared" si="151"/>
        <v>0</v>
      </c>
      <c r="BT123" s="27">
        <f t="shared" si="152"/>
        <v>0</v>
      </c>
      <c r="BU123" s="29">
        <f t="shared" si="114"/>
        <v>0.56530914705882351</v>
      </c>
      <c r="BV123" s="27">
        <f t="shared" si="140"/>
        <v>57661533</v>
      </c>
      <c r="BW123" s="27"/>
      <c r="BX123" s="27"/>
      <c r="BY123" s="27"/>
      <c r="BZ123" s="27"/>
      <c r="CA123" s="27">
        <v>57661533</v>
      </c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9">
        <f t="shared" si="116"/>
        <v>0.43469085294117649</v>
      </c>
      <c r="CR123" s="27">
        <f t="shared" si="141"/>
        <v>44338467</v>
      </c>
      <c r="CS123" s="27">
        <f t="shared" si="153"/>
        <v>0</v>
      </c>
      <c r="CT123" s="27">
        <f t="shared" si="153"/>
        <v>0</v>
      </c>
      <c r="CU123" s="27">
        <f t="shared" si="153"/>
        <v>0</v>
      </c>
      <c r="CV123" s="27">
        <f t="shared" si="153"/>
        <v>0</v>
      </c>
      <c r="CW123" s="27">
        <f t="shared" si="153"/>
        <v>44338467</v>
      </c>
      <c r="CX123" s="27">
        <f t="shared" si="153"/>
        <v>0</v>
      </c>
      <c r="CY123" s="27">
        <f t="shared" si="153"/>
        <v>0</v>
      </c>
      <c r="CZ123" s="27">
        <f t="shared" si="154"/>
        <v>0</v>
      </c>
      <c r="DA123" s="27">
        <f t="shared" si="154"/>
        <v>0</v>
      </c>
      <c r="DB123" s="27">
        <f t="shared" si="154"/>
        <v>0</v>
      </c>
      <c r="DC123" s="27">
        <f t="shared" si="155"/>
        <v>0</v>
      </c>
      <c r="DD123" s="27">
        <f t="shared" si="155"/>
        <v>0</v>
      </c>
      <c r="DE123" s="27">
        <f t="shared" si="155"/>
        <v>0</v>
      </c>
      <c r="DF123" s="27">
        <f t="shared" si="156"/>
        <v>0</v>
      </c>
      <c r="DG123" s="27">
        <f t="shared" si="156"/>
        <v>0</v>
      </c>
      <c r="DH123" s="27">
        <f t="shared" si="156"/>
        <v>0</v>
      </c>
      <c r="DI123" s="27"/>
      <c r="DJ123" s="27">
        <f t="shared" si="157"/>
        <v>0</v>
      </c>
      <c r="DK123" s="27">
        <f t="shared" si="157"/>
        <v>0</v>
      </c>
      <c r="DL123" s="27">
        <f t="shared" si="157"/>
        <v>0</v>
      </c>
    </row>
    <row r="124" spans="1:116" ht="30" x14ac:dyDescent="0.25">
      <c r="A124" s="236"/>
      <c r="B124" s="231"/>
      <c r="C124" s="75" t="s">
        <v>341</v>
      </c>
      <c r="D124" s="24" t="s">
        <v>342</v>
      </c>
      <c r="E124" s="98">
        <v>510</v>
      </c>
      <c r="F124" s="26" t="s">
        <v>338</v>
      </c>
      <c r="G124" s="27">
        <f t="shared" si="147"/>
        <v>10000000</v>
      </c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>
        <v>10000000</v>
      </c>
      <c r="U124" s="27"/>
      <c r="V124" s="27"/>
      <c r="W124" s="27"/>
      <c r="X124" s="27"/>
      <c r="Y124" s="27"/>
      <c r="Z124" s="27"/>
      <c r="AA124" s="27"/>
      <c r="AC124" s="29">
        <f t="shared" si="105"/>
        <v>0</v>
      </c>
      <c r="AD124" s="27">
        <f t="shared" si="133"/>
        <v>0</v>
      </c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9">
        <f t="shared" si="107"/>
        <v>1</v>
      </c>
      <c r="AZ124" s="27">
        <f t="shared" si="134"/>
        <v>10000000</v>
      </c>
      <c r="BA124" s="27">
        <f t="shared" si="148"/>
        <v>0</v>
      </c>
      <c r="BB124" s="27">
        <f t="shared" si="149"/>
        <v>0</v>
      </c>
      <c r="BC124" s="27">
        <f t="shared" si="149"/>
        <v>0</v>
      </c>
      <c r="BD124" s="27">
        <f t="shared" si="149"/>
        <v>0</v>
      </c>
      <c r="BE124" s="27">
        <f t="shared" si="150"/>
        <v>0</v>
      </c>
      <c r="BF124" s="27">
        <f t="shared" si="150"/>
        <v>0</v>
      </c>
      <c r="BG124" s="27">
        <f t="shared" si="150"/>
        <v>0</v>
      </c>
      <c r="BH124" s="27">
        <f t="shared" si="150"/>
        <v>0</v>
      </c>
      <c r="BI124" s="27">
        <f t="shared" si="150"/>
        <v>0</v>
      </c>
      <c r="BJ124" s="27">
        <f t="shared" si="150"/>
        <v>0</v>
      </c>
      <c r="BK124" s="27">
        <f t="shared" si="150"/>
        <v>0</v>
      </c>
      <c r="BL124" s="27">
        <f t="shared" si="150"/>
        <v>0</v>
      </c>
      <c r="BM124" s="27">
        <f t="shared" si="150"/>
        <v>10000000</v>
      </c>
      <c r="BN124" s="27">
        <f t="shared" si="150"/>
        <v>0</v>
      </c>
      <c r="BO124" s="27">
        <f t="shared" si="150"/>
        <v>0</v>
      </c>
      <c r="BP124" s="27">
        <f t="shared" si="150"/>
        <v>0</v>
      </c>
      <c r="BQ124" s="27"/>
      <c r="BR124" s="27"/>
      <c r="BS124" s="27">
        <f t="shared" si="151"/>
        <v>0</v>
      </c>
      <c r="BT124" s="27">
        <f t="shared" si="152"/>
        <v>0</v>
      </c>
      <c r="BU124" s="29">
        <f t="shared" si="114"/>
        <v>0</v>
      </c>
      <c r="BV124" s="27">
        <f t="shared" si="140"/>
        <v>0</v>
      </c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9">
        <f t="shared" si="116"/>
        <v>1</v>
      </c>
      <c r="CR124" s="27">
        <f t="shared" si="141"/>
        <v>10000000</v>
      </c>
      <c r="CS124" s="27">
        <f t="shared" si="153"/>
        <v>0</v>
      </c>
      <c r="CT124" s="27">
        <f t="shared" si="153"/>
        <v>0</v>
      </c>
      <c r="CU124" s="27">
        <f t="shared" si="153"/>
        <v>0</v>
      </c>
      <c r="CV124" s="27">
        <f t="shared" si="153"/>
        <v>0</v>
      </c>
      <c r="CW124" s="27">
        <f t="shared" si="153"/>
        <v>0</v>
      </c>
      <c r="CX124" s="27">
        <f t="shared" si="153"/>
        <v>0</v>
      </c>
      <c r="CY124" s="27">
        <f t="shared" si="153"/>
        <v>0</v>
      </c>
      <c r="CZ124" s="27">
        <f t="shared" si="154"/>
        <v>0</v>
      </c>
      <c r="DA124" s="27">
        <f t="shared" si="154"/>
        <v>0</v>
      </c>
      <c r="DB124" s="27">
        <f t="shared" si="154"/>
        <v>0</v>
      </c>
      <c r="DC124" s="27">
        <f t="shared" si="155"/>
        <v>0</v>
      </c>
      <c r="DD124" s="27">
        <f t="shared" si="155"/>
        <v>0</v>
      </c>
      <c r="DE124" s="27">
        <f t="shared" si="155"/>
        <v>10000000</v>
      </c>
      <c r="DF124" s="27">
        <f t="shared" si="156"/>
        <v>0</v>
      </c>
      <c r="DG124" s="27">
        <f t="shared" si="156"/>
        <v>0</v>
      </c>
      <c r="DH124" s="27">
        <f t="shared" si="156"/>
        <v>0</v>
      </c>
      <c r="DI124" s="27"/>
      <c r="DJ124" s="27">
        <f t="shared" si="157"/>
        <v>0</v>
      </c>
      <c r="DK124" s="27">
        <f t="shared" si="157"/>
        <v>0</v>
      </c>
      <c r="DL124" s="27">
        <f t="shared" si="157"/>
        <v>0</v>
      </c>
    </row>
    <row r="125" spans="1:116" ht="30.75" customHeight="1" x14ac:dyDescent="0.25">
      <c r="A125" s="236"/>
      <c r="B125" s="95" t="s">
        <v>343</v>
      </c>
      <c r="C125" s="75" t="s">
        <v>344</v>
      </c>
      <c r="D125" s="24" t="s">
        <v>345</v>
      </c>
      <c r="E125" s="98">
        <v>510</v>
      </c>
      <c r="F125" s="26" t="s">
        <v>338</v>
      </c>
      <c r="G125" s="27">
        <f t="shared" si="147"/>
        <v>80000000</v>
      </c>
      <c r="H125" s="27"/>
      <c r="I125" s="27"/>
      <c r="J125" s="27"/>
      <c r="K125" s="27"/>
      <c r="L125" s="27">
        <v>80000000</v>
      </c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C125" s="29">
        <f t="shared" si="105"/>
        <v>1</v>
      </c>
      <c r="AD125" s="27">
        <f t="shared" si="133"/>
        <v>80000000</v>
      </c>
      <c r="AE125" s="27"/>
      <c r="AF125" s="27"/>
      <c r="AG125" s="27"/>
      <c r="AH125" s="27"/>
      <c r="AI125" s="27">
        <f>+'[5]ENERO 2016'!$O$625</f>
        <v>80000000</v>
      </c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9">
        <f t="shared" si="107"/>
        <v>0</v>
      </c>
      <c r="AZ125" s="27">
        <f t="shared" si="134"/>
        <v>0</v>
      </c>
      <c r="BA125" s="27">
        <f t="shared" si="148"/>
        <v>0</v>
      </c>
      <c r="BB125" s="27">
        <f t="shared" si="149"/>
        <v>0</v>
      </c>
      <c r="BC125" s="27">
        <f t="shared" si="149"/>
        <v>0</v>
      </c>
      <c r="BD125" s="27">
        <f t="shared" si="149"/>
        <v>0</v>
      </c>
      <c r="BE125" s="27">
        <f t="shared" si="150"/>
        <v>0</v>
      </c>
      <c r="BF125" s="27">
        <f t="shared" si="150"/>
        <v>0</v>
      </c>
      <c r="BG125" s="27">
        <f t="shared" si="150"/>
        <v>0</v>
      </c>
      <c r="BH125" s="27">
        <f t="shared" si="150"/>
        <v>0</v>
      </c>
      <c r="BI125" s="27">
        <f t="shared" si="150"/>
        <v>0</v>
      </c>
      <c r="BJ125" s="27">
        <f t="shared" si="150"/>
        <v>0</v>
      </c>
      <c r="BK125" s="27">
        <f t="shared" si="150"/>
        <v>0</v>
      </c>
      <c r="BL125" s="27">
        <f t="shared" si="150"/>
        <v>0</v>
      </c>
      <c r="BM125" s="27">
        <f t="shared" si="150"/>
        <v>0</v>
      </c>
      <c r="BN125" s="27">
        <f t="shared" si="150"/>
        <v>0</v>
      </c>
      <c r="BO125" s="27">
        <f t="shared" si="150"/>
        <v>0</v>
      </c>
      <c r="BP125" s="27">
        <f t="shared" si="150"/>
        <v>0</v>
      </c>
      <c r="BQ125" s="27"/>
      <c r="BR125" s="27"/>
      <c r="BS125" s="27">
        <f t="shared" si="151"/>
        <v>0</v>
      </c>
      <c r="BT125" s="27">
        <f t="shared" si="152"/>
        <v>0</v>
      </c>
      <c r="BU125" s="29">
        <f t="shared" si="114"/>
        <v>0.97971187500000001</v>
      </c>
      <c r="BV125" s="27">
        <f t="shared" si="140"/>
        <v>78376950</v>
      </c>
      <c r="BW125" s="27"/>
      <c r="BX125" s="27"/>
      <c r="BY125" s="27"/>
      <c r="BZ125" s="27"/>
      <c r="CA125" s="27">
        <f>+'[7]MARZO 2016 ULTIMO'!$H$1027</f>
        <v>78376950</v>
      </c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9">
        <f t="shared" si="116"/>
        <v>2.028812499999999E-2</v>
      </c>
      <c r="CR125" s="27">
        <f t="shared" si="141"/>
        <v>1623050</v>
      </c>
      <c r="CS125" s="27">
        <f t="shared" si="153"/>
        <v>0</v>
      </c>
      <c r="CT125" s="27">
        <f t="shared" si="153"/>
        <v>0</v>
      </c>
      <c r="CU125" s="27">
        <f t="shared" si="153"/>
        <v>0</v>
      </c>
      <c r="CV125" s="27">
        <f t="shared" si="153"/>
        <v>0</v>
      </c>
      <c r="CW125" s="27">
        <f t="shared" si="153"/>
        <v>1623050</v>
      </c>
      <c r="CX125" s="27">
        <f t="shared" si="153"/>
        <v>0</v>
      </c>
      <c r="CY125" s="27">
        <f t="shared" si="153"/>
        <v>0</v>
      </c>
      <c r="CZ125" s="27">
        <f t="shared" si="154"/>
        <v>0</v>
      </c>
      <c r="DA125" s="27">
        <f t="shared" si="154"/>
        <v>0</v>
      </c>
      <c r="DB125" s="27">
        <f t="shared" si="154"/>
        <v>0</v>
      </c>
      <c r="DC125" s="27">
        <f t="shared" si="155"/>
        <v>0</v>
      </c>
      <c r="DD125" s="27">
        <f t="shared" si="155"/>
        <v>0</v>
      </c>
      <c r="DE125" s="27">
        <f t="shared" si="155"/>
        <v>0</v>
      </c>
      <c r="DF125" s="27">
        <f t="shared" si="156"/>
        <v>0</v>
      </c>
      <c r="DG125" s="27">
        <f t="shared" si="156"/>
        <v>0</v>
      </c>
      <c r="DH125" s="27">
        <f t="shared" si="156"/>
        <v>0</v>
      </c>
      <c r="DI125" s="27"/>
      <c r="DJ125" s="27">
        <f t="shared" si="157"/>
        <v>0</v>
      </c>
      <c r="DK125" s="27">
        <f t="shared" si="157"/>
        <v>0</v>
      </c>
      <c r="DL125" s="27">
        <f t="shared" si="157"/>
        <v>0</v>
      </c>
    </row>
    <row r="126" spans="1:116" ht="34.5" customHeight="1" x14ac:dyDescent="0.25">
      <c r="A126" s="236"/>
      <c r="B126" s="95" t="s">
        <v>346</v>
      </c>
      <c r="C126" s="75" t="s">
        <v>347</v>
      </c>
      <c r="D126" s="24" t="s">
        <v>348</v>
      </c>
      <c r="E126" s="98">
        <v>510</v>
      </c>
      <c r="F126" s="26" t="s">
        <v>349</v>
      </c>
      <c r="G126" s="27">
        <f t="shared" si="147"/>
        <v>110000000</v>
      </c>
      <c r="H126" s="27"/>
      <c r="I126" s="27"/>
      <c r="J126" s="27"/>
      <c r="K126" s="27"/>
      <c r="L126" s="27">
        <v>110000000</v>
      </c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C126" s="29">
        <f t="shared" si="105"/>
        <v>0.87053905454545455</v>
      </c>
      <c r="AD126" s="27">
        <f t="shared" si="133"/>
        <v>95759296</v>
      </c>
      <c r="AE126" s="27"/>
      <c r="AF126" s="27"/>
      <c r="AG126" s="27"/>
      <c r="AH126" s="27"/>
      <c r="AI126" s="27">
        <f>+'[1]JUNIO 2016'!$O$1713</f>
        <v>95759296</v>
      </c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9">
        <f t="shared" si="107"/>
        <v>0.12946094545454545</v>
      </c>
      <c r="AZ126" s="27">
        <f t="shared" si="134"/>
        <v>14240704</v>
      </c>
      <c r="BA126" s="27">
        <f t="shared" si="148"/>
        <v>0</v>
      </c>
      <c r="BB126" s="27">
        <f t="shared" si="149"/>
        <v>0</v>
      </c>
      <c r="BC126" s="27">
        <f t="shared" si="149"/>
        <v>0</v>
      </c>
      <c r="BD126" s="27">
        <f t="shared" si="149"/>
        <v>0</v>
      </c>
      <c r="BE126" s="27">
        <f t="shared" si="150"/>
        <v>14240704</v>
      </c>
      <c r="BF126" s="27">
        <f t="shared" si="150"/>
        <v>0</v>
      </c>
      <c r="BG126" s="27">
        <f t="shared" si="150"/>
        <v>0</v>
      </c>
      <c r="BH126" s="27">
        <f t="shared" si="150"/>
        <v>0</v>
      </c>
      <c r="BI126" s="27">
        <f t="shared" si="150"/>
        <v>0</v>
      </c>
      <c r="BJ126" s="27">
        <f t="shared" si="150"/>
        <v>0</v>
      </c>
      <c r="BK126" s="27">
        <f t="shared" si="150"/>
        <v>0</v>
      </c>
      <c r="BL126" s="27">
        <f t="shared" si="150"/>
        <v>0</v>
      </c>
      <c r="BM126" s="27">
        <f t="shared" si="150"/>
        <v>0</v>
      </c>
      <c r="BN126" s="27">
        <f t="shared" si="150"/>
        <v>0</v>
      </c>
      <c r="BO126" s="27">
        <f t="shared" si="150"/>
        <v>0</v>
      </c>
      <c r="BP126" s="27">
        <f t="shared" si="150"/>
        <v>0</v>
      </c>
      <c r="BQ126" s="27"/>
      <c r="BR126" s="27"/>
      <c r="BS126" s="27">
        <f t="shared" si="151"/>
        <v>0</v>
      </c>
      <c r="BT126" s="27">
        <f t="shared" si="152"/>
        <v>0</v>
      </c>
      <c r="BU126" s="29">
        <f t="shared" si="114"/>
        <v>0.77678147272727271</v>
      </c>
      <c r="BV126" s="27">
        <f t="shared" si="140"/>
        <v>85445962</v>
      </c>
      <c r="BW126" s="27"/>
      <c r="BX126" s="27"/>
      <c r="BY126" s="27"/>
      <c r="BZ126" s="27"/>
      <c r="CA126" s="27">
        <f>+'[4]ABRIL 2016'!$H$1301</f>
        <v>85445962</v>
      </c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9">
        <f t="shared" si="116"/>
        <v>0.22321852727272729</v>
      </c>
      <c r="CR126" s="27">
        <f t="shared" si="141"/>
        <v>24554038</v>
      </c>
      <c r="CS126" s="27">
        <f t="shared" si="153"/>
        <v>0</v>
      </c>
      <c r="CT126" s="27">
        <f t="shared" si="153"/>
        <v>0</v>
      </c>
      <c r="CU126" s="27">
        <f t="shared" si="153"/>
        <v>0</v>
      </c>
      <c r="CV126" s="27">
        <f t="shared" si="153"/>
        <v>0</v>
      </c>
      <c r="CW126" s="27">
        <f t="shared" si="153"/>
        <v>24554038</v>
      </c>
      <c r="CX126" s="27">
        <f t="shared" si="153"/>
        <v>0</v>
      </c>
      <c r="CY126" s="27">
        <f t="shared" si="153"/>
        <v>0</v>
      </c>
      <c r="CZ126" s="27">
        <f t="shared" si="154"/>
        <v>0</v>
      </c>
      <c r="DA126" s="27">
        <f t="shared" si="154"/>
        <v>0</v>
      </c>
      <c r="DB126" s="27">
        <f t="shared" si="154"/>
        <v>0</v>
      </c>
      <c r="DC126" s="27">
        <f t="shared" si="155"/>
        <v>0</v>
      </c>
      <c r="DD126" s="27">
        <f t="shared" si="155"/>
        <v>0</v>
      </c>
      <c r="DE126" s="27">
        <f t="shared" si="155"/>
        <v>0</v>
      </c>
      <c r="DF126" s="27">
        <f t="shared" si="156"/>
        <v>0</v>
      </c>
      <c r="DG126" s="27">
        <f t="shared" si="156"/>
        <v>0</v>
      </c>
      <c r="DH126" s="27">
        <f t="shared" si="156"/>
        <v>0</v>
      </c>
      <c r="DI126" s="27"/>
      <c r="DJ126" s="27">
        <f t="shared" si="157"/>
        <v>0</v>
      </c>
      <c r="DK126" s="27">
        <f t="shared" si="157"/>
        <v>0</v>
      </c>
      <c r="DL126" s="27">
        <f t="shared" si="157"/>
        <v>0</v>
      </c>
    </row>
    <row r="127" spans="1:116" ht="40.5" customHeight="1" x14ac:dyDescent="0.25">
      <c r="A127" s="237"/>
      <c r="B127" s="95" t="s">
        <v>350</v>
      </c>
      <c r="C127" s="75" t="s">
        <v>351</v>
      </c>
      <c r="D127" s="24" t="s">
        <v>352</v>
      </c>
      <c r="E127" s="98">
        <v>310</v>
      </c>
      <c r="F127" s="26" t="s">
        <v>353</v>
      </c>
      <c r="G127" s="27">
        <f t="shared" si="147"/>
        <v>270168096</v>
      </c>
      <c r="H127" s="27"/>
      <c r="I127" s="27"/>
      <c r="J127" s="27"/>
      <c r="K127" s="27"/>
      <c r="L127" s="27">
        <v>243168096</v>
      </c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>
        <f>25000000+2000000</f>
        <v>27000000</v>
      </c>
      <c r="AC127" s="29">
        <f t="shared" si="105"/>
        <v>0.49921914910337895</v>
      </c>
      <c r="AD127" s="27">
        <f t="shared" si="133"/>
        <v>134873087</v>
      </c>
      <c r="AE127" s="27"/>
      <c r="AF127" s="27"/>
      <c r="AG127" s="27"/>
      <c r="AH127" s="27"/>
      <c r="AI127" s="27">
        <f>+'[1]JUNIO 2016'!$O$407</f>
        <v>134003087</v>
      </c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>
        <f>+'[1]JUNIO 2016'!$AG$407</f>
        <v>870000</v>
      </c>
      <c r="AY127" s="29">
        <f t="shared" si="107"/>
        <v>0.50078085089662105</v>
      </c>
      <c r="AZ127" s="27">
        <f t="shared" si="134"/>
        <v>135295009</v>
      </c>
      <c r="BA127" s="27">
        <f t="shared" si="148"/>
        <v>0</v>
      </c>
      <c r="BB127" s="27">
        <f t="shared" si="149"/>
        <v>0</v>
      </c>
      <c r="BC127" s="27">
        <f t="shared" si="149"/>
        <v>0</v>
      </c>
      <c r="BD127" s="27">
        <f t="shared" si="149"/>
        <v>0</v>
      </c>
      <c r="BE127" s="27">
        <f t="shared" si="150"/>
        <v>109165009</v>
      </c>
      <c r="BF127" s="27">
        <f t="shared" si="150"/>
        <v>0</v>
      </c>
      <c r="BG127" s="27">
        <f t="shared" si="150"/>
        <v>0</v>
      </c>
      <c r="BH127" s="27">
        <f t="shared" si="150"/>
        <v>0</v>
      </c>
      <c r="BI127" s="27">
        <f t="shared" si="150"/>
        <v>0</v>
      </c>
      <c r="BJ127" s="27">
        <f t="shared" si="150"/>
        <v>0</v>
      </c>
      <c r="BK127" s="27">
        <f t="shared" si="150"/>
        <v>0</v>
      </c>
      <c r="BL127" s="27">
        <f t="shared" si="150"/>
        <v>0</v>
      </c>
      <c r="BM127" s="27">
        <f t="shared" si="150"/>
        <v>0</v>
      </c>
      <c r="BN127" s="27">
        <f t="shared" si="150"/>
        <v>0</v>
      </c>
      <c r="BO127" s="27">
        <f t="shared" si="150"/>
        <v>0</v>
      </c>
      <c r="BP127" s="27">
        <f t="shared" si="150"/>
        <v>0</v>
      </c>
      <c r="BQ127" s="27"/>
      <c r="BR127" s="27"/>
      <c r="BS127" s="27">
        <f t="shared" si="151"/>
        <v>0</v>
      </c>
      <c r="BT127" s="27">
        <f t="shared" si="152"/>
        <v>26130000</v>
      </c>
      <c r="BU127" s="29">
        <f t="shared" si="114"/>
        <v>0.20637504511265461</v>
      </c>
      <c r="BV127" s="27">
        <f t="shared" si="140"/>
        <v>55755953</v>
      </c>
      <c r="BW127" s="27"/>
      <c r="BX127" s="27"/>
      <c r="BY127" s="27"/>
      <c r="BZ127" s="27"/>
      <c r="CA127" s="27">
        <f>+'[1]JUNIO 2016'!$H$405-'[1]JUNIO 2016'!$AG$407</f>
        <v>54885953</v>
      </c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>
        <f>+'[1]JUNIO 2016'!$H$439</f>
        <v>870000</v>
      </c>
      <c r="CQ127" s="29">
        <f t="shared" si="116"/>
        <v>0.79362495488734541</v>
      </c>
      <c r="CR127" s="27">
        <f t="shared" si="141"/>
        <v>214412143</v>
      </c>
      <c r="CS127" s="27">
        <f t="shared" si="153"/>
        <v>0</v>
      </c>
      <c r="CT127" s="27">
        <f t="shared" si="153"/>
        <v>0</v>
      </c>
      <c r="CU127" s="27">
        <f t="shared" si="153"/>
        <v>0</v>
      </c>
      <c r="CV127" s="27">
        <f t="shared" si="153"/>
        <v>0</v>
      </c>
      <c r="CW127" s="27">
        <f t="shared" si="153"/>
        <v>188282143</v>
      </c>
      <c r="CX127" s="27">
        <f t="shared" si="153"/>
        <v>0</v>
      </c>
      <c r="CY127" s="27">
        <f t="shared" si="153"/>
        <v>0</v>
      </c>
      <c r="CZ127" s="27">
        <f t="shared" si="154"/>
        <v>0</v>
      </c>
      <c r="DA127" s="27">
        <f t="shared" si="154"/>
        <v>0</v>
      </c>
      <c r="DB127" s="27">
        <f t="shared" si="154"/>
        <v>0</v>
      </c>
      <c r="DC127" s="27">
        <f t="shared" si="155"/>
        <v>0</v>
      </c>
      <c r="DD127" s="27">
        <f t="shared" si="155"/>
        <v>0</v>
      </c>
      <c r="DE127" s="27">
        <f t="shared" si="155"/>
        <v>0</v>
      </c>
      <c r="DF127" s="27">
        <f t="shared" si="156"/>
        <v>0</v>
      </c>
      <c r="DG127" s="27">
        <f t="shared" si="156"/>
        <v>0</v>
      </c>
      <c r="DH127" s="27">
        <f t="shared" si="156"/>
        <v>0</v>
      </c>
      <c r="DI127" s="27"/>
      <c r="DJ127" s="27">
        <f t="shared" si="157"/>
        <v>0</v>
      </c>
      <c r="DK127" s="27">
        <f t="shared" si="157"/>
        <v>0</v>
      </c>
      <c r="DL127" s="27">
        <f t="shared" si="157"/>
        <v>26130000</v>
      </c>
    </row>
    <row r="128" spans="1:116" s="50" customFormat="1" ht="18.75" customHeight="1" thickBot="1" x14ac:dyDescent="0.3">
      <c r="A128" s="102"/>
      <c r="B128" s="250" t="s">
        <v>354</v>
      </c>
      <c r="C128" s="251"/>
      <c r="D128" s="252"/>
      <c r="E128" s="103"/>
      <c r="F128" s="104"/>
      <c r="G128" s="68">
        <f t="shared" ref="G128:AA128" si="158">SUM(G109:G127)</f>
        <v>12163347921</v>
      </c>
      <c r="H128" s="68">
        <f t="shared" si="158"/>
        <v>0</v>
      </c>
      <c r="I128" s="68">
        <f t="shared" si="158"/>
        <v>0</v>
      </c>
      <c r="J128" s="68">
        <f t="shared" si="158"/>
        <v>6845738942</v>
      </c>
      <c r="K128" s="68">
        <f t="shared" si="158"/>
        <v>171003327</v>
      </c>
      <c r="L128" s="68">
        <f t="shared" si="158"/>
        <v>630168096</v>
      </c>
      <c r="M128" s="68">
        <f t="shared" si="158"/>
        <v>0</v>
      </c>
      <c r="N128" s="68">
        <f t="shared" si="158"/>
        <v>54387</v>
      </c>
      <c r="O128" s="68">
        <f t="shared" si="158"/>
        <v>30665828</v>
      </c>
      <c r="P128" s="68">
        <f t="shared" si="158"/>
        <v>1940856</v>
      </c>
      <c r="Q128" s="68">
        <f t="shared" si="158"/>
        <v>3438802</v>
      </c>
      <c r="R128" s="68">
        <f t="shared" si="158"/>
        <v>345941457</v>
      </c>
      <c r="S128" s="68">
        <f t="shared" si="158"/>
        <v>0</v>
      </c>
      <c r="T128" s="68">
        <f t="shared" si="158"/>
        <v>390000000</v>
      </c>
      <c r="U128" s="68">
        <f t="shared" si="158"/>
        <v>485000000</v>
      </c>
      <c r="V128" s="68">
        <f t="shared" si="158"/>
        <v>0</v>
      </c>
      <c r="W128" s="68">
        <f t="shared" si="158"/>
        <v>0</v>
      </c>
      <c r="X128" s="68">
        <f t="shared" si="158"/>
        <v>0</v>
      </c>
      <c r="Y128" s="68">
        <f t="shared" si="158"/>
        <v>2700000000</v>
      </c>
      <c r="Z128" s="68">
        <f t="shared" si="158"/>
        <v>0</v>
      </c>
      <c r="AA128" s="68">
        <f t="shared" si="158"/>
        <v>559396226</v>
      </c>
      <c r="AC128" s="46">
        <f t="shared" si="105"/>
        <v>0.64293375802384067</v>
      </c>
      <c r="AD128" s="68">
        <f>SUM(AD109:AD127)</f>
        <v>7820226989</v>
      </c>
      <c r="AE128" s="68"/>
      <c r="AF128" s="68">
        <f t="shared" ref="AF128:AX128" si="159">SUM(AF109:AF127)</f>
        <v>0</v>
      </c>
      <c r="AG128" s="68">
        <f t="shared" si="159"/>
        <v>3620876862</v>
      </c>
      <c r="AH128" s="68">
        <f t="shared" si="159"/>
        <v>52220600</v>
      </c>
      <c r="AI128" s="68">
        <f t="shared" si="159"/>
        <v>482730383</v>
      </c>
      <c r="AJ128" s="68">
        <f t="shared" si="159"/>
        <v>0</v>
      </c>
      <c r="AK128" s="68">
        <f t="shared" si="159"/>
        <v>0</v>
      </c>
      <c r="AL128" s="68">
        <f t="shared" si="159"/>
        <v>0</v>
      </c>
      <c r="AM128" s="68">
        <f t="shared" si="159"/>
        <v>0</v>
      </c>
      <c r="AN128" s="68">
        <f t="shared" si="159"/>
        <v>0</v>
      </c>
      <c r="AO128" s="68">
        <f t="shared" si="159"/>
        <v>164856575</v>
      </c>
      <c r="AP128" s="68">
        <f t="shared" si="159"/>
        <v>0</v>
      </c>
      <c r="AQ128" s="68">
        <f t="shared" si="159"/>
        <v>250000000</v>
      </c>
      <c r="AR128" s="68">
        <f t="shared" si="159"/>
        <v>485000000</v>
      </c>
      <c r="AS128" s="68">
        <f t="shared" si="159"/>
        <v>0</v>
      </c>
      <c r="AT128" s="68">
        <f t="shared" si="159"/>
        <v>0</v>
      </c>
      <c r="AU128" s="68">
        <f t="shared" si="159"/>
        <v>0</v>
      </c>
      <c r="AV128" s="68">
        <f t="shared" si="159"/>
        <v>2700000000</v>
      </c>
      <c r="AW128" s="68">
        <f t="shared" si="159"/>
        <v>0</v>
      </c>
      <c r="AX128" s="68">
        <f t="shared" si="159"/>
        <v>64542569</v>
      </c>
      <c r="AY128" s="46">
        <f t="shared" si="107"/>
        <v>0.35706624197615933</v>
      </c>
      <c r="AZ128" s="68">
        <f>SUM(AZ109:AZ127)</f>
        <v>4343120932</v>
      </c>
      <c r="BA128" s="68"/>
      <c r="BB128" s="68">
        <f t="shared" ref="BB128:BT128" si="160">SUM(BB109:BB127)</f>
        <v>0</v>
      </c>
      <c r="BC128" s="68">
        <f t="shared" si="160"/>
        <v>3224862080</v>
      </c>
      <c r="BD128" s="68">
        <f t="shared" si="160"/>
        <v>118782727</v>
      </c>
      <c r="BE128" s="68">
        <f t="shared" si="160"/>
        <v>147437713</v>
      </c>
      <c r="BF128" s="68">
        <f t="shared" si="160"/>
        <v>0</v>
      </c>
      <c r="BG128" s="68">
        <f t="shared" si="160"/>
        <v>54387</v>
      </c>
      <c r="BH128" s="68">
        <f t="shared" si="160"/>
        <v>30665828</v>
      </c>
      <c r="BI128" s="68">
        <f t="shared" si="160"/>
        <v>1940856</v>
      </c>
      <c r="BJ128" s="68">
        <f t="shared" si="160"/>
        <v>3438802</v>
      </c>
      <c r="BK128" s="68">
        <f t="shared" si="160"/>
        <v>181084882</v>
      </c>
      <c r="BL128" s="68">
        <f t="shared" si="160"/>
        <v>0</v>
      </c>
      <c r="BM128" s="68">
        <f t="shared" si="160"/>
        <v>140000000</v>
      </c>
      <c r="BN128" s="68">
        <f t="shared" si="160"/>
        <v>0</v>
      </c>
      <c r="BO128" s="68">
        <f t="shared" si="160"/>
        <v>0</v>
      </c>
      <c r="BP128" s="68">
        <f t="shared" si="160"/>
        <v>0</v>
      </c>
      <c r="BQ128" s="68">
        <f t="shared" si="160"/>
        <v>0</v>
      </c>
      <c r="BR128" s="68">
        <f t="shared" si="160"/>
        <v>0</v>
      </c>
      <c r="BS128" s="68">
        <f t="shared" si="160"/>
        <v>0</v>
      </c>
      <c r="BT128" s="68">
        <f t="shared" si="160"/>
        <v>494853657</v>
      </c>
      <c r="BU128" s="46">
        <f t="shared" si="114"/>
        <v>0.25117302011277393</v>
      </c>
      <c r="BV128" s="68">
        <f t="shared" ref="BV128:CL128" si="161">SUM(BV109:BV127)</f>
        <v>3055104832</v>
      </c>
      <c r="BW128" s="68">
        <f t="shared" si="161"/>
        <v>0</v>
      </c>
      <c r="BX128" s="68">
        <f t="shared" si="161"/>
        <v>0</v>
      </c>
      <c r="BY128" s="68">
        <f t="shared" si="161"/>
        <v>1607594896</v>
      </c>
      <c r="BZ128" s="68">
        <f t="shared" si="161"/>
        <v>45348340</v>
      </c>
      <c r="CA128" s="68">
        <f t="shared" si="161"/>
        <v>327913998</v>
      </c>
      <c r="CB128" s="68">
        <f t="shared" si="161"/>
        <v>0</v>
      </c>
      <c r="CC128" s="68">
        <f t="shared" si="161"/>
        <v>0</v>
      </c>
      <c r="CD128" s="68">
        <f t="shared" si="161"/>
        <v>0</v>
      </c>
      <c r="CE128" s="68">
        <f t="shared" si="161"/>
        <v>0</v>
      </c>
      <c r="CF128" s="68">
        <f t="shared" si="161"/>
        <v>0</v>
      </c>
      <c r="CG128" s="68">
        <f t="shared" si="161"/>
        <v>94856575</v>
      </c>
      <c r="CH128" s="68">
        <f t="shared" si="161"/>
        <v>0</v>
      </c>
      <c r="CI128" s="68">
        <f t="shared" si="161"/>
        <v>113924726</v>
      </c>
      <c r="CJ128" s="68">
        <f t="shared" si="161"/>
        <v>359172189</v>
      </c>
      <c r="CK128" s="68">
        <f t="shared" si="161"/>
        <v>0</v>
      </c>
      <c r="CL128" s="68">
        <f t="shared" si="161"/>
        <v>0</v>
      </c>
      <c r="CM128" s="68"/>
      <c r="CN128" s="68">
        <f>SUM(CN109:CN127)</f>
        <v>452887249</v>
      </c>
      <c r="CO128" s="68">
        <f>SUM(CO109:CO127)</f>
        <v>0</v>
      </c>
      <c r="CP128" s="68">
        <f>SUM(CP109:CP127)</f>
        <v>53406859</v>
      </c>
      <c r="CQ128" s="46">
        <f t="shared" si="116"/>
        <v>0.74882697988722602</v>
      </c>
      <c r="CR128" s="68">
        <f t="shared" ref="CR128:DL128" si="162">SUM(CR109:CR127)</f>
        <v>9108243089</v>
      </c>
      <c r="CS128" s="68">
        <f t="shared" si="162"/>
        <v>0</v>
      </c>
      <c r="CT128" s="68">
        <f t="shared" si="162"/>
        <v>0</v>
      </c>
      <c r="CU128" s="68">
        <f t="shared" si="162"/>
        <v>5238144046</v>
      </c>
      <c r="CV128" s="68">
        <f t="shared" si="162"/>
        <v>125654987</v>
      </c>
      <c r="CW128" s="68">
        <f t="shared" si="162"/>
        <v>302254098</v>
      </c>
      <c r="CX128" s="68">
        <f t="shared" si="162"/>
        <v>0</v>
      </c>
      <c r="CY128" s="68">
        <f t="shared" si="162"/>
        <v>54387</v>
      </c>
      <c r="CZ128" s="68">
        <f t="shared" si="162"/>
        <v>30665828</v>
      </c>
      <c r="DA128" s="68">
        <f t="shared" si="162"/>
        <v>1940856</v>
      </c>
      <c r="DB128" s="68">
        <f t="shared" si="162"/>
        <v>3438802</v>
      </c>
      <c r="DC128" s="68">
        <f t="shared" si="162"/>
        <v>251084882</v>
      </c>
      <c r="DD128" s="68">
        <f t="shared" si="162"/>
        <v>0</v>
      </c>
      <c r="DE128" s="68">
        <f t="shared" si="162"/>
        <v>276075274</v>
      </c>
      <c r="DF128" s="68">
        <f t="shared" si="162"/>
        <v>125827811</v>
      </c>
      <c r="DG128" s="68">
        <f t="shared" si="162"/>
        <v>0</v>
      </c>
      <c r="DH128" s="68">
        <f t="shared" si="162"/>
        <v>0</v>
      </c>
      <c r="DI128" s="68">
        <f t="shared" si="162"/>
        <v>0</v>
      </c>
      <c r="DJ128" s="68">
        <f t="shared" si="162"/>
        <v>2247112751</v>
      </c>
      <c r="DK128" s="68">
        <f t="shared" si="162"/>
        <v>0</v>
      </c>
      <c r="DL128" s="68">
        <f t="shared" si="162"/>
        <v>505989367</v>
      </c>
    </row>
    <row r="129" spans="3:116" ht="5.25" customHeight="1" thickTop="1" x14ac:dyDescent="0.25">
      <c r="C129" s="105"/>
      <c r="D129" s="105"/>
      <c r="E129" s="105"/>
      <c r="F129" s="105"/>
      <c r="G129" s="106"/>
      <c r="H129" s="106"/>
      <c r="I129" s="106"/>
      <c r="J129" s="107"/>
      <c r="K129" s="106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C129" s="109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109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109"/>
      <c r="BV129" s="110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109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</row>
    <row r="130" spans="3:116" ht="19.5" customHeight="1" x14ac:dyDescent="0.25">
      <c r="C130" s="253" t="s">
        <v>355</v>
      </c>
      <c r="D130" s="254"/>
      <c r="E130" s="255"/>
      <c r="F130" s="111"/>
      <c r="G130" s="54">
        <f t="shared" ref="G130:AA130" si="163">G20+G58+G91+G108+G128</f>
        <v>22003591449</v>
      </c>
      <c r="H130" s="54">
        <f t="shared" si="163"/>
        <v>0</v>
      </c>
      <c r="I130" s="54">
        <f t="shared" si="163"/>
        <v>200000000</v>
      </c>
      <c r="J130" s="54">
        <f t="shared" si="163"/>
        <v>8727003733</v>
      </c>
      <c r="K130" s="54">
        <f t="shared" si="163"/>
        <v>171003327</v>
      </c>
      <c r="L130" s="54">
        <f t="shared" si="163"/>
        <v>2601016897</v>
      </c>
      <c r="M130" s="54">
        <f t="shared" si="163"/>
        <v>138372986</v>
      </c>
      <c r="N130" s="54">
        <f t="shared" si="163"/>
        <v>54387</v>
      </c>
      <c r="O130" s="54">
        <f t="shared" si="163"/>
        <v>30665828</v>
      </c>
      <c r="P130" s="54">
        <f t="shared" si="163"/>
        <v>1940856</v>
      </c>
      <c r="Q130" s="54">
        <f t="shared" si="163"/>
        <v>3438802</v>
      </c>
      <c r="R130" s="54">
        <f t="shared" si="163"/>
        <v>345941457</v>
      </c>
      <c r="S130" s="54">
        <f t="shared" si="163"/>
        <v>1544000000</v>
      </c>
      <c r="T130" s="54">
        <f t="shared" si="163"/>
        <v>1142029623</v>
      </c>
      <c r="U130" s="54">
        <f t="shared" si="163"/>
        <v>486796640</v>
      </c>
      <c r="V130" s="54">
        <f t="shared" si="163"/>
        <v>1104833768</v>
      </c>
      <c r="W130" s="54">
        <f t="shared" si="163"/>
        <v>1262551657</v>
      </c>
      <c r="X130" s="54">
        <f t="shared" si="163"/>
        <v>11169156</v>
      </c>
      <c r="Y130" s="54">
        <f t="shared" si="163"/>
        <v>2700000000</v>
      </c>
      <c r="Z130" s="54">
        <f t="shared" si="163"/>
        <v>204741836</v>
      </c>
      <c r="AA130" s="54">
        <f t="shared" si="163"/>
        <v>1328030496</v>
      </c>
      <c r="AC130" s="112">
        <f>+AD130/G130</f>
        <v>0.67557288770127444</v>
      </c>
      <c r="AD130" s="54">
        <f>AD20+AD58+AD91+AD108+AD128</f>
        <v>14865029815</v>
      </c>
      <c r="AE130" s="54"/>
      <c r="AF130" s="54">
        <f t="shared" ref="AF130:AX130" si="164">AF20+AF58+AF91+AF108+AF128</f>
        <v>200000000</v>
      </c>
      <c r="AG130" s="54">
        <f t="shared" si="164"/>
        <v>4642173051</v>
      </c>
      <c r="AH130" s="54">
        <f t="shared" si="164"/>
        <v>52220600</v>
      </c>
      <c r="AI130" s="54">
        <f t="shared" si="164"/>
        <v>2105771040</v>
      </c>
      <c r="AJ130" s="54">
        <f t="shared" si="164"/>
        <v>38217031</v>
      </c>
      <c r="AK130" s="54">
        <f t="shared" si="164"/>
        <v>0</v>
      </c>
      <c r="AL130" s="54">
        <f t="shared" si="164"/>
        <v>0</v>
      </c>
      <c r="AM130" s="54">
        <f t="shared" si="164"/>
        <v>0</v>
      </c>
      <c r="AN130" s="54">
        <f t="shared" si="164"/>
        <v>0</v>
      </c>
      <c r="AO130" s="54">
        <f t="shared" si="164"/>
        <v>164856575</v>
      </c>
      <c r="AP130" s="54">
        <f t="shared" si="164"/>
        <v>1496388655</v>
      </c>
      <c r="AQ130" s="54">
        <f t="shared" si="164"/>
        <v>775628761</v>
      </c>
      <c r="AR130" s="54">
        <f t="shared" si="164"/>
        <v>486796640</v>
      </c>
      <c r="AS130" s="54">
        <f t="shared" si="164"/>
        <v>777589206</v>
      </c>
      <c r="AT130" s="54">
        <f t="shared" si="164"/>
        <v>822749581</v>
      </c>
      <c r="AU130" s="54">
        <f t="shared" si="164"/>
        <v>0</v>
      </c>
      <c r="AV130" s="54">
        <f t="shared" si="164"/>
        <v>2700000000</v>
      </c>
      <c r="AW130" s="54">
        <f t="shared" si="164"/>
        <v>23350298</v>
      </c>
      <c r="AX130" s="54">
        <f t="shared" si="164"/>
        <v>579288377</v>
      </c>
      <c r="AY130" s="113">
        <f>1-AC130</f>
        <v>0.32442711229872556</v>
      </c>
      <c r="AZ130" s="54">
        <f t="shared" ref="AZ130:BT130" si="165">AZ20+AZ58+AZ91+AZ108+AZ128</f>
        <v>7138561634</v>
      </c>
      <c r="BA130" s="54">
        <f t="shared" si="165"/>
        <v>0</v>
      </c>
      <c r="BB130" s="54">
        <f t="shared" si="165"/>
        <v>0</v>
      </c>
      <c r="BC130" s="54">
        <f t="shared" si="165"/>
        <v>4084830682</v>
      </c>
      <c r="BD130" s="54">
        <f t="shared" si="165"/>
        <v>118782727</v>
      </c>
      <c r="BE130" s="54">
        <f t="shared" si="165"/>
        <v>495245857</v>
      </c>
      <c r="BF130" s="54">
        <f t="shared" si="165"/>
        <v>100155955</v>
      </c>
      <c r="BG130" s="54">
        <f t="shared" si="165"/>
        <v>54387</v>
      </c>
      <c r="BH130" s="54">
        <f t="shared" si="165"/>
        <v>30665828</v>
      </c>
      <c r="BI130" s="54">
        <f t="shared" si="165"/>
        <v>1940856</v>
      </c>
      <c r="BJ130" s="54">
        <f t="shared" si="165"/>
        <v>3438802</v>
      </c>
      <c r="BK130" s="54">
        <f t="shared" si="165"/>
        <v>181084882</v>
      </c>
      <c r="BL130" s="54">
        <f t="shared" si="165"/>
        <v>47611345</v>
      </c>
      <c r="BM130" s="54">
        <f t="shared" si="165"/>
        <v>366400862</v>
      </c>
      <c r="BN130" s="54">
        <f t="shared" si="165"/>
        <v>0</v>
      </c>
      <c r="BO130" s="54">
        <f t="shared" si="165"/>
        <v>327244562</v>
      </c>
      <c r="BP130" s="54">
        <f t="shared" si="165"/>
        <v>439802076</v>
      </c>
      <c r="BQ130" s="54">
        <f t="shared" si="165"/>
        <v>11169156</v>
      </c>
      <c r="BR130" s="54">
        <f t="shared" si="165"/>
        <v>0</v>
      </c>
      <c r="BS130" s="54">
        <f t="shared" si="165"/>
        <v>181391538</v>
      </c>
      <c r="BT130" s="54">
        <f t="shared" si="165"/>
        <v>748742119</v>
      </c>
      <c r="BU130" s="113">
        <f>+BV130/G130</f>
        <v>0.39799734390169278</v>
      </c>
      <c r="BV130" s="54">
        <f t="shared" ref="BV130:CP130" si="166">BV20+BV58+BV91+BV108+BV128</f>
        <v>8757370953</v>
      </c>
      <c r="BW130" s="54">
        <f t="shared" si="166"/>
        <v>0</v>
      </c>
      <c r="BX130" s="54">
        <f t="shared" si="166"/>
        <v>192408143</v>
      </c>
      <c r="BY130" s="54">
        <f t="shared" si="166"/>
        <v>2486179502</v>
      </c>
      <c r="BZ130" s="54">
        <f t="shared" si="166"/>
        <v>45348340</v>
      </c>
      <c r="CA130" s="54">
        <f t="shared" si="166"/>
        <v>1721535991</v>
      </c>
      <c r="CB130" s="54">
        <f t="shared" si="166"/>
        <v>38217031</v>
      </c>
      <c r="CC130" s="54">
        <f t="shared" si="166"/>
        <v>0</v>
      </c>
      <c r="CD130" s="54">
        <f t="shared" si="166"/>
        <v>0</v>
      </c>
      <c r="CE130" s="54">
        <f t="shared" si="166"/>
        <v>0</v>
      </c>
      <c r="CF130" s="54">
        <f t="shared" si="166"/>
        <v>0</v>
      </c>
      <c r="CG130" s="54">
        <f t="shared" si="166"/>
        <v>94856575</v>
      </c>
      <c r="CH130" s="54">
        <f t="shared" si="166"/>
        <v>899475319</v>
      </c>
      <c r="CI130" s="54">
        <f t="shared" si="166"/>
        <v>586037877</v>
      </c>
      <c r="CJ130" s="54">
        <f t="shared" si="166"/>
        <v>360968829</v>
      </c>
      <c r="CK130" s="54">
        <f t="shared" si="166"/>
        <v>689684487</v>
      </c>
      <c r="CL130" s="54">
        <f t="shared" si="166"/>
        <v>723539805</v>
      </c>
      <c r="CM130" s="54">
        <f t="shared" si="166"/>
        <v>0</v>
      </c>
      <c r="CN130" s="54">
        <f t="shared" si="166"/>
        <v>452887249</v>
      </c>
      <c r="CO130" s="54">
        <f t="shared" si="166"/>
        <v>23350298</v>
      </c>
      <c r="CP130" s="54">
        <f t="shared" si="166"/>
        <v>442881507</v>
      </c>
      <c r="CQ130" s="29">
        <f>1-BU130</f>
        <v>0.60200265609830717</v>
      </c>
      <c r="CR130" s="54">
        <f t="shared" ref="CR130:DL130" si="167">CR20+CR58+CR91+CR108+CR128</f>
        <v>13246220496</v>
      </c>
      <c r="CS130" s="54">
        <f t="shared" si="167"/>
        <v>0</v>
      </c>
      <c r="CT130" s="54">
        <f t="shared" si="167"/>
        <v>7591857</v>
      </c>
      <c r="CU130" s="54">
        <f t="shared" si="167"/>
        <v>6240824231</v>
      </c>
      <c r="CV130" s="54">
        <f t="shared" si="167"/>
        <v>125654987</v>
      </c>
      <c r="CW130" s="54">
        <f t="shared" si="167"/>
        <v>879480906</v>
      </c>
      <c r="CX130" s="54">
        <f t="shared" si="167"/>
        <v>100155955</v>
      </c>
      <c r="CY130" s="54">
        <f t="shared" si="167"/>
        <v>54387</v>
      </c>
      <c r="CZ130" s="54">
        <f t="shared" si="167"/>
        <v>30665828</v>
      </c>
      <c r="DA130" s="54">
        <f t="shared" si="167"/>
        <v>1940856</v>
      </c>
      <c r="DB130" s="54">
        <f t="shared" si="167"/>
        <v>3438802</v>
      </c>
      <c r="DC130" s="54">
        <f t="shared" si="167"/>
        <v>251084882</v>
      </c>
      <c r="DD130" s="54">
        <f t="shared" si="167"/>
        <v>644524681</v>
      </c>
      <c r="DE130" s="54">
        <f t="shared" si="167"/>
        <v>555991746</v>
      </c>
      <c r="DF130" s="54">
        <f t="shared" si="167"/>
        <v>125827811</v>
      </c>
      <c r="DG130" s="54">
        <f t="shared" si="167"/>
        <v>415149281</v>
      </c>
      <c r="DH130" s="54">
        <f t="shared" si="167"/>
        <v>539011852</v>
      </c>
      <c r="DI130" s="54">
        <f t="shared" si="167"/>
        <v>11169156</v>
      </c>
      <c r="DJ130" s="54">
        <f t="shared" si="167"/>
        <v>2247112751</v>
      </c>
      <c r="DK130" s="54">
        <f t="shared" si="167"/>
        <v>181391538</v>
      </c>
      <c r="DL130" s="54">
        <f t="shared" si="167"/>
        <v>885148989</v>
      </c>
    </row>
    <row r="131" spans="3:116" ht="5.25" customHeight="1" x14ac:dyDescent="0.25">
      <c r="C131" s="114"/>
      <c r="D131" s="114"/>
      <c r="E131" s="115"/>
      <c r="F131" s="115"/>
      <c r="G131" s="116"/>
      <c r="H131" s="116"/>
      <c r="I131" s="116"/>
      <c r="J131" s="117"/>
      <c r="K131" s="116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C131" s="119"/>
      <c r="AD131" s="120"/>
      <c r="AE131" s="120"/>
      <c r="AF131" s="120"/>
      <c r="AG131" s="120"/>
      <c r="AH131" s="120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9"/>
      <c r="AZ131" s="120"/>
      <c r="BA131" s="120"/>
      <c r="BB131" s="120"/>
      <c r="BC131" s="120"/>
      <c r="BD131" s="120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19"/>
      <c r="BV131" s="122"/>
      <c r="BW131" s="123"/>
      <c r="BX131" s="123"/>
      <c r="BY131" s="123"/>
      <c r="BZ131" s="123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29"/>
      <c r="CR131" s="124"/>
      <c r="CS131" s="120"/>
      <c r="CT131" s="120"/>
      <c r="CU131" s="120"/>
      <c r="CV131" s="120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</row>
    <row r="132" spans="3:116" ht="16.5" customHeight="1" x14ac:dyDescent="0.25">
      <c r="C132" s="125"/>
      <c r="D132" s="126" t="s">
        <v>356</v>
      </c>
      <c r="E132" s="119">
        <v>111</v>
      </c>
      <c r="F132" s="127"/>
      <c r="G132" s="128">
        <f>SUMIF($E$4:$E$127,"111",$G$4:$G$127)</f>
        <v>4036201186</v>
      </c>
      <c r="H132" s="128">
        <f>SUMIF($E$4:$E$127,"111",$H$4:$H$127)</f>
        <v>0</v>
      </c>
      <c r="I132" s="129">
        <f>SUMIF($E$4:$E$128,"111",$I$4:$I$128)</f>
        <v>0</v>
      </c>
      <c r="J132" s="129">
        <f>SUMIF($E$4:$E$128,"111",$J$4:$J$128)</f>
        <v>3247003733</v>
      </c>
      <c r="K132" s="128">
        <f>SUMIF($E$4:$E$127,"111",$K$4:$K$127)</f>
        <v>171003327</v>
      </c>
      <c r="L132" s="127">
        <f>SUMIF($E$4:$E$128,"111",$L$4:$L$128)</f>
        <v>0</v>
      </c>
      <c r="M132" s="127">
        <f>SUMIF($E$4:$E$127,"111",$M$4:$M$127)</f>
        <v>0</v>
      </c>
      <c r="N132" s="127">
        <f>SUMIF($E$4:$E$127,"111",$N$4:$N$127)</f>
        <v>54387</v>
      </c>
      <c r="O132" s="127">
        <f>SUMIF($E$4:$E$127,"111",$O$4:$O$127)</f>
        <v>30665828</v>
      </c>
      <c r="P132" s="127">
        <f>SUMIF($E$4:$E$127,"111",$P$4:$P$127)</f>
        <v>1940856</v>
      </c>
      <c r="Q132" s="127">
        <f>SUMIF($E$4:$E$127,"111",$Q$4:$Q$127)</f>
        <v>3438802</v>
      </c>
      <c r="R132" s="127">
        <f>SUMIF($E$4:$E$127,"111",$R$4:$R$127)</f>
        <v>250509069</v>
      </c>
      <c r="S132" s="127">
        <f>SUMIF($E$4:$E$127,"111",$S$4:$S$127)</f>
        <v>0</v>
      </c>
      <c r="T132" s="127">
        <f>SUMIF($E$4:$E$127,"111",$T$4:$T$127)</f>
        <v>0</v>
      </c>
      <c r="U132" s="127">
        <f>SUMIF($E$4:$E$127,"111",$U$4:$U$127)</f>
        <v>0</v>
      </c>
      <c r="V132" s="127">
        <f>SUMIF($E$4:$E$127,"111",$V$4:$V$127)</f>
        <v>0</v>
      </c>
      <c r="W132" s="127">
        <f>SUMIF($E$4:$E$127,"111",$W$4:$W$127)</f>
        <v>0</v>
      </c>
      <c r="X132" s="127"/>
      <c r="Y132" s="127">
        <f>SUMIF($E$4:$E$127,"111",$Y$4:$Y$127)</f>
        <v>0</v>
      </c>
      <c r="Z132" s="127">
        <f>SUMIF($E$4:$E$127,"111",$Z$4:$Z$127)</f>
        <v>0</v>
      </c>
      <c r="AA132" s="127">
        <f>SUMIF($E$4:$E$127,"111",$AA$4:$AA$127)</f>
        <v>331585184</v>
      </c>
      <c r="AC132" s="130">
        <f t="shared" ref="AC132:AC141" si="168">+AD132/G132</f>
        <v>0.51937452208062451</v>
      </c>
      <c r="AD132" s="32">
        <f t="shared" ref="AD132:AD138" si="169">SUM(AF132:AX132)</f>
        <v>2096300062</v>
      </c>
      <c r="AE132" s="128">
        <f>SUMIF($E$4:$E$127,"111",$AE$4:$AE$127)</f>
        <v>0</v>
      </c>
      <c r="AF132" s="128">
        <f>SUMIF($E$4:$E$127,"111",$AF$4:$AF$127)</f>
        <v>0</v>
      </c>
      <c r="AG132" s="128">
        <f>SUMIF($E$4:$E$127,"111",$AG$4:$AG$127)</f>
        <v>1955522887</v>
      </c>
      <c r="AH132" s="128">
        <f>SUMIF($E$4:$E$127,"111",$AH$4:$AH$127)</f>
        <v>52220600</v>
      </c>
      <c r="AI132" s="128">
        <f>SUMIF($E$4:$E$127,"111",$AI$4:$AI$127)</f>
        <v>0</v>
      </c>
      <c r="AJ132" s="128">
        <f>SUMIF($E$4:$E$127,"111",$AJ$4:$AJ$127)</f>
        <v>0</v>
      </c>
      <c r="AK132" s="128">
        <f>SUMIF($E$4:$E$127,"111",$AK$4:$AK$127)</f>
        <v>0</v>
      </c>
      <c r="AL132" s="128">
        <f>SUMIF($E$4:$E$127,"111",$AL$4:$AL$127)</f>
        <v>0</v>
      </c>
      <c r="AM132" s="128">
        <f>SUMIF($E$4:$E$127,"111",$AM$4:$AM$127)</f>
        <v>0</v>
      </c>
      <c r="AN132" s="128">
        <f>SUMIF($E$4:$E$127,"111",$AN$4:$AN$127)</f>
        <v>0</v>
      </c>
      <c r="AO132" s="128">
        <f>SUMIF($E$4:$E$127,"111",$AO$4:$AO$127)</f>
        <v>79856575</v>
      </c>
      <c r="AP132" s="128">
        <f>SUMIF($E$4:$E$127,"111",$AP$4:$AP$127)</f>
        <v>0</v>
      </c>
      <c r="AQ132" s="128">
        <f>SUMIF($E$4:$E$127,"111",$AQ$4:$AQ$127)</f>
        <v>0</v>
      </c>
      <c r="AR132" s="128">
        <f>SUMIF($E$4:$E$127,"111",$AR$4:$AR$127)</f>
        <v>0</v>
      </c>
      <c r="AS132" s="128">
        <f>SUMIF($E$4:$E$127,"111",$AS$4:$AS$127)</f>
        <v>0</v>
      </c>
      <c r="AT132" s="128">
        <f>SUMIF($E$4:$E$127,"111",$AS$4:$AS$127)</f>
        <v>0</v>
      </c>
      <c r="AU132" s="128">
        <f>SUMIF($E$4:$E$127,"111",$AU$4:$AU$127)</f>
        <v>0</v>
      </c>
      <c r="AV132" s="128">
        <f>SUMIF($E$4:$E$127,"111",$AV$4:$AV$127)</f>
        <v>0</v>
      </c>
      <c r="AW132" s="128">
        <f>SUMIF($E$4:$E$127,"111",$AW$4:$AW$127)</f>
        <v>0</v>
      </c>
      <c r="AX132" s="128">
        <f>SUMIF($E$4:$E$127,"111",$AX$4:$AX$127)</f>
        <v>8700000</v>
      </c>
      <c r="AY132" s="113">
        <f t="shared" ref="AY132:AY140" si="170">1-AC132</f>
        <v>0.48062547791937549</v>
      </c>
      <c r="AZ132" s="32">
        <f t="shared" ref="AZ132:AZ138" si="171">SUM(BA132:BT132)</f>
        <v>1939901124</v>
      </c>
      <c r="BA132" s="131">
        <f>SUMIF($E$4:$E$127,"111",$BA$4:$BA$127)</f>
        <v>0</v>
      </c>
      <c r="BB132" s="131">
        <f>SUMIF($E$4:$E$127,"111",$BB$4:$BB$127)</f>
        <v>0</v>
      </c>
      <c r="BC132" s="131">
        <f>SUMIF($E$4:$E$127,"111",$BC$4:$BC$127)</f>
        <v>1291480846</v>
      </c>
      <c r="BD132" s="131">
        <f>SUMIF($E$4:$E$127,"111",$BD$4:$BD$127)</f>
        <v>118782727</v>
      </c>
      <c r="BE132" s="131">
        <f>SUMIF($E$4:$E$127,"111",$BE$4:$BE$127)</f>
        <v>0</v>
      </c>
      <c r="BF132" s="131">
        <f>SUMIF($E$4:$E$127,"111",$BF$4:$BF$127)</f>
        <v>0</v>
      </c>
      <c r="BG132" s="131">
        <f>SUMIF($E$4:$E$127,"111",$BG$4:$BG$127)</f>
        <v>54387</v>
      </c>
      <c r="BH132" s="131">
        <f>SUMIF($E$4:$E$128,"111",$BH$4:$BH$128)</f>
        <v>30665828</v>
      </c>
      <c r="BI132" s="131">
        <f>SUMIF($E$4:$E$127,"111",$BI$4:$BI$127)</f>
        <v>1940856</v>
      </c>
      <c r="BJ132" s="131">
        <f>SUMIF($E$4:$E$127,"111",$BJ$4:$BJ$127)</f>
        <v>3438802</v>
      </c>
      <c r="BK132" s="131">
        <f>SUMIF($E$4:$E$127,"111",$BK$4:$BK$127)</f>
        <v>170652494</v>
      </c>
      <c r="BL132" s="131">
        <f>SUMIF($E$4:$E$127,"111",$BL$4:$BL$127)</f>
        <v>0</v>
      </c>
      <c r="BM132" s="131">
        <f>SUMIF($E$4:$E$127,"111",$BM$4:$BM$127)</f>
        <v>0</v>
      </c>
      <c r="BN132" s="131">
        <f>SUMIF($E$4:$E$127,"111",$BN$4:$BN$127)</f>
        <v>0</v>
      </c>
      <c r="BO132" s="131">
        <f>SUMIF($E$4:$E$127,"111",$BO$4:$BO$127)</f>
        <v>0</v>
      </c>
      <c r="BP132" s="131">
        <f>SUMIF($E$4:$E$127,"111",$BP$4:$BP$127)</f>
        <v>0</v>
      </c>
      <c r="BQ132" s="131"/>
      <c r="BR132" s="131">
        <f>SUMIF($E$4:$E$127,"111",$BR$4:$BR$127)</f>
        <v>0</v>
      </c>
      <c r="BS132" s="131">
        <f>SUMIF($E$4:$E$127,"111",$BS$4:$BS$127)</f>
        <v>0</v>
      </c>
      <c r="BT132" s="132">
        <f>SUMIF($E$4:$E$127,"111",$BT$4:$BT$127)</f>
        <v>322885184</v>
      </c>
      <c r="BU132" s="133">
        <f t="shared" ref="BU132:BU141" si="172">+BV132/G132</f>
        <v>0.19898866012572447</v>
      </c>
      <c r="BV132" s="39">
        <f t="shared" ref="BV132:BV137" si="173">SUM(BX132:CP132)</f>
        <v>803158266</v>
      </c>
      <c r="BW132" s="128">
        <f>SUMIF($E$4:$E$127,"111",$BW$4:$BW$127)</f>
        <v>0</v>
      </c>
      <c r="BX132" s="128">
        <f>SUMIF($E$4:$E$127,"111",$BX$4:$BX$127)</f>
        <v>0</v>
      </c>
      <c r="BY132" s="128">
        <f>SUMIF($E$4:$E$127,"111",$BY$4:$BY$127)</f>
        <v>675223351</v>
      </c>
      <c r="BZ132" s="128">
        <f>SUMIF($E$4:$E$127,"111",$BZ$4:$BZ$127)</f>
        <v>45348340</v>
      </c>
      <c r="CA132" s="128">
        <f>SUMIF($E$4:$E$127,"111",$CA$4:$CA$127)</f>
        <v>0</v>
      </c>
      <c r="CB132" s="128">
        <f>SUMIF($E$4:$E$127,"111",$CB$4:$CB$127)</f>
        <v>0</v>
      </c>
      <c r="CC132" s="128">
        <f>SUMIF($E$4:$E$127,"111",$CC$4:$CC$127)</f>
        <v>0</v>
      </c>
      <c r="CD132" s="128">
        <f>SUMIF($E$4:$E$127,"111",$CD$4:$CD$127)</f>
        <v>0</v>
      </c>
      <c r="CE132" s="128">
        <f>SUMIF($E$4:$E$127,"111",$CE$4:$CE$127)</f>
        <v>0</v>
      </c>
      <c r="CF132" s="128">
        <f>SUMIF($E$4:$E$127,"111",$CF$4:$CF$127)</f>
        <v>0</v>
      </c>
      <c r="CG132" s="128">
        <f>SUMIF($E$4:$E$127,"111",$CG$4:$CG$127)</f>
        <v>79856575</v>
      </c>
      <c r="CH132" s="128">
        <f>SUMIF($E$4:$E$127,"111",$CH$4:$CH$127)</f>
        <v>0</v>
      </c>
      <c r="CI132" s="128">
        <f>SUMIF($E$4:$E$127,"111",$CI$4:$CI$127)</f>
        <v>0</v>
      </c>
      <c r="CJ132" s="128">
        <f>SUMIF($E$4:$E$127,"111",$CJ$4:$CJ$127)</f>
        <v>0</v>
      </c>
      <c r="CK132" s="128">
        <f>SUMIF($E$4:$E$127,"111",$CK$4:$CK$127)</f>
        <v>0</v>
      </c>
      <c r="CL132" s="128">
        <f>SUMIF($E$4:$E$127,"111",$CL$4:$CL$127)</f>
        <v>0</v>
      </c>
      <c r="CM132" s="128">
        <f>SUMIF($E$4:$E$127,"111",$CM$4:$CM$127)</f>
        <v>0</v>
      </c>
      <c r="CN132" s="128">
        <f>SUMIF($E$4:$E$127,"111",$CN$4:$CN$127)</f>
        <v>0</v>
      </c>
      <c r="CO132" s="128">
        <f>SUMIF($E$4:$E$127,"111",$CO$4:$CO$127)</f>
        <v>0</v>
      </c>
      <c r="CP132" s="134">
        <f>SUMIF($E$4:$E$127,"111",$CP$4:$CP$127)</f>
        <v>2730000</v>
      </c>
      <c r="CQ132" s="29">
        <f t="shared" ref="CQ132:CQ141" si="174">1-BU132</f>
        <v>0.80101133987427553</v>
      </c>
      <c r="CR132" s="32">
        <f t="shared" ref="CR132:CR138" si="175">SUM(CS132:DL132)</f>
        <v>3233042920</v>
      </c>
      <c r="CS132" s="131">
        <f>SUMIF($E$4:$E$127,"111",$CS$4:$CS$127)</f>
        <v>0</v>
      </c>
      <c r="CT132" s="131">
        <f>SUMIF($E$4:$E$127,"111",$CT$4:$CT$127)</f>
        <v>0</v>
      </c>
      <c r="CU132" s="131">
        <f>SUMIF($E$4:$E$127,"111",$CU$4:$CU$127)</f>
        <v>2571780382</v>
      </c>
      <c r="CV132" s="131">
        <f>SUMIF($E$4:$E$127,"111",$CV$4:$CV$127)</f>
        <v>125654987</v>
      </c>
      <c r="CW132" s="131">
        <f>SUMIF($E$4:$E$127,"111",$CW$4:$CW$127)</f>
        <v>0</v>
      </c>
      <c r="CX132" s="131">
        <f>SUMIF($E$4:$E$127,"111",$CX$4:$CX$127)</f>
        <v>0</v>
      </c>
      <c r="CY132" s="131">
        <f>SUMIF($E$4:$E$127,"111",$CY$4:$CY$127)</f>
        <v>54387</v>
      </c>
      <c r="CZ132" s="135">
        <f>SUMIF($E$4:$E$127,"111",$CZ$4:$CZ$127)</f>
        <v>30665828</v>
      </c>
      <c r="DA132" s="135">
        <f>SUMIF($E$4:$E$127,"111",$DA$4:$DA$127)</f>
        <v>1940856</v>
      </c>
      <c r="DB132" s="135">
        <f>SUMIF($E$4:$E$127,"111",$DB$4:$DB$127)</f>
        <v>3438802</v>
      </c>
      <c r="DC132" s="135">
        <f>SUMIF($E$4:$E$127,"111",$DC$4:$DC$127)</f>
        <v>170652494</v>
      </c>
      <c r="DD132" s="135">
        <f>SUMIF($E$4:$E$127,"111",$DD$4:$DD$127)</f>
        <v>0</v>
      </c>
      <c r="DE132" s="135">
        <f>SUMIF($E$4:$E$127,"111",$DE$4:$DE$127)</f>
        <v>0</v>
      </c>
      <c r="DF132" s="135">
        <f>SUMIF($E$4:$E$127,"111",$DF$4:$DF$127)</f>
        <v>0</v>
      </c>
      <c r="DG132" s="135">
        <f>SUMIF($E$4:$E$127,"111",$DG$4:$DG$127)</f>
        <v>0</v>
      </c>
      <c r="DH132" s="135">
        <f>SUMIF($E$4:$E$127,"111",$DH$4:$DH$127)</f>
        <v>0</v>
      </c>
      <c r="DI132" s="135">
        <f>SUMIF($E$4:$E$127,"111",$DI$4:$DI$127)</f>
        <v>0</v>
      </c>
      <c r="DJ132" s="135">
        <f>SUMIF($E$4:$E$127,"111",$DJ$4:$DJ$127)</f>
        <v>0</v>
      </c>
      <c r="DK132" s="135">
        <f>SUMIF($E$4:$E$127,"111",$DK$4:$DK$127)</f>
        <v>0</v>
      </c>
      <c r="DL132" s="135">
        <f>SUMIF($E$4:$E$127,"111",$DL$4:$DL$127)</f>
        <v>328855184</v>
      </c>
    </row>
    <row r="133" spans="3:116" ht="18" customHeight="1" x14ac:dyDescent="0.25">
      <c r="C133" s="136"/>
      <c r="D133" s="126" t="s">
        <v>357</v>
      </c>
      <c r="E133" s="119">
        <v>211</v>
      </c>
      <c r="F133" s="127"/>
      <c r="G133" s="128">
        <f>SUMIF($E$4:$E$127,"211",$G$4:$G$127)</f>
        <v>4274978639</v>
      </c>
      <c r="H133" s="128">
        <f>SUMIF($E$4:$E$127,"211",$H$4:$H$127)</f>
        <v>0</v>
      </c>
      <c r="I133" s="129">
        <f>SUMIF($E$4:$E$128,"211",$I$4:$I$128)</f>
        <v>0</v>
      </c>
      <c r="J133" s="129">
        <f>SUMIF($E$4:$E$128,"211",$J$4:$J$128)</f>
        <v>3598735209</v>
      </c>
      <c r="K133" s="128">
        <f>SUMIF($E$4:$E$127,"211",$K$4:$K$127)</f>
        <v>0</v>
      </c>
      <c r="L133" s="127">
        <f>SUMIF($E$4:$E$127,"211",$L$4:$L$127)</f>
        <v>0</v>
      </c>
      <c r="M133" s="127">
        <f>SUMIF($E$4:$E$127,"211",$M$4:$M$127)</f>
        <v>0</v>
      </c>
      <c r="N133" s="127">
        <f>SUMIF($E$4:$E$127,"211",$N$4:$N$127)</f>
        <v>0</v>
      </c>
      <c r="O133" s="127">
        <f>SUMIF($E$4:$E$127,"211",$O$4:$O$127)</f>
        <v>0</v>
      </c>
      <c r="P133" s="127">
        <f>SUMIF($E$4:$E$127,"211",$P$4:$P$127)</f>
        <v>0</v>
      </c>
      <c r="Q133" s="127">
        <f>SUMIF($E$4:$E$127,"211",$Q$4:$Q$127)</f>
        <v>0</v>
      </c>
      <c r="R133" s="127">
        <f>SUMIF($E$4:$E$127,"211",$R$4:$R$127)</f>
        <v>95432388</v>
      </c>
      <c r="S133" s="127">
        <f>SUMIF($E$4:$E$127,"211",$S$4:$S$127)</f>
        <v>0</v>
      </c>
      <c r="T133" s="127">
        <f>SUMIF($E$4:$E$127,"211",$T$4:$T$127)</f>
        <v>380000000</v>
      </c>
      <c r="U133" s="127">
        <f>SUMIF($E$4:$E$127,"211",$U$4:$U$127)</f>
        <v>0</v>
      </c>
      <c r="V133" s="127">
        <f>SUMIF($E$4:$E$127,"211",$V$4:$V$127)</f>
        <v>0</v>
      </c>
      <c r="W133" s="127">
        <f>SUMIF($E$4:$E$127,"211",$W$4:$W$127)</f>
        <v>0</v>
      </c>
      <c r="X133" s="127"/>
      <c r="Y133" s="127">
        <f>SUMIF($E$4:$E$127,"211",$Y$4:$Y$127)</f>
        <v>0</v>
      </c>
      <c r="Z133" s="127">
        <f>SUMIF($E$4:$E$127,"211",$Z$4:$Z$127)</f>
        <v>0</v>
      </c>
      <c r="AA133" s="127">
        <f>SUMIF($E$4:$E$127,"211",$AA$4:$AA$127)</f>
        <v>200811042</v>
      </c>
      <c r="AC133" s="130">
        <f t="shared" si="168"/>
        <v>0.48078054127558884</v>
      </c>
      <c r="AD133" s="32">
        <f t="shared" si="169"/>
        <v>2055326544</v>
      </c>
      <c r="AE133" s="128">
        <f>SUMIF($E$4:$E$127,"211",$AE$4:$AE$127)</f>
        <v>0</v>
      </c>
      <c r="AF133" s="128">
        <f>SUMIF($E$4:$E$127,"211",$AF$4:$AF$127)</f>
        <v>0</v>
      </c>
      <c r="AG133" s="128">
        <f>SUMIF($E$4:$E$127,"211",$AG$4:$AG$127)</f>
        <v>1665353975</v>
      </c>
      <c r="AH133" s="128">
        <f>SUMIF($E$4:$E$127,"211",$AH$4:$AH$127)</f>
        <v>0</v>
      </c>
      <c r="AI133" s="128">
        <f>SUMIF($E$4:$E$127,"211",$AI$4:$AI$127)</f>
        <v>0</v>
      </c>
      <c r="AJ133" s="128">
        <f>SUMIF($E$4:$E$127,"211",$AJ$4:$AJ$127)</f>
        <v>0</v>
      </c>
      <c r="AK133" s="128">
        <f>SUMIF($E$4:$E$127,"211",$AK$4:$AK$127)</f>
        <v>0</v>
      </c>
      <c r="AL133" s="128">
        <f>SUMIF($E$4:$E$127,"211",$AL$4:$AL$127)</f>
        <v>0</v>
      </c>
      <c r="AM133" s="128">
        <f>SUMIF($E$4:$E$127,"211",$AM$4:$AM$127)</f>
        <v>0</v>
      </c>
      <c r="AN133" s="128">
        <f>SUMIF($E$4:$E$127,"211",$AN$4:$AN$127)</f>
        <v>0</v>
      </c>
      <c r="AO133" s="128">
        <f>SUMIF($E$4:$E$127,"211",$AO$4:$AO$127)</f>
        <v>85000000</v>
      </c>
      <c r="AP133" s="128">
        <f>SUMIF($E$4:$E$127,"211",$AP$4:$AP$127)</f>
        <v>0</v>
      </c>
      <c r="AQ133" s="128">
        <f>SUMIF($E$4:$E$127,"211",$AQ$4:$AQ$127)</f>
        <v>250000000</v>
      </c>
      <c r="AR133" s="128">
        <f>SUMIF($E$4:$E$127,"211",$AR$4:$AR$127)</f>
        <v>0</v>
      </c>
      <c r="AS133" s="128">
        <f>SUMIF($E$4:$E$127,"211",$AS$4:$AS$127)</f>
        <v>0</v>
      </c>
      <c r="AT133" s="128">
        <f>SUMIF($E$4:$E$127,"211",$AT$4:$AT$127)</f>
        <v>0</v>
      </c>
      <c r="AU133" s="128">
        <f>SUMIF($E$4:$E$127,"211",$AU$4:$AU$127)</f>
        <v>0</v>
      </c>
      <c r="AV133" s="128">
        <f>SUMIF($E$4:$E$127,"211",$AV$4:$AV$127)</f>
        <v>0</v>
      </c>
      <c r="AW133" s="128">
        <f>SUMIF($E$4:$E$127,"211",$AW$4:$AW$127)</f>
        <v>0</v>
      </c>
      <c r="AX133" s="128">
        <f>SUMIF($E$4:$E$127,"211",$AX$4:$AX$127)</f>
        <v>54972569</v>
      </c>
      <c r="AY133" s="113">
        <f t="shared" si="170"/>
        <v>0.51921945872441122</v>
      </c>
      <c r="AZ133" s="32">
        <f t="shared" si="171"/>
        <v>2219652095</v>
      </c>
      <c r="BA133" s="131">
        <f>SUMIF($E$4:$E$127,"211",$BA$4:$BA$127)</f>
        <v>0</v>
      </c>
      <c r="BB133" s="131">
        <f>SUMIF($E$4:$E$127,"211",$BB$4:$BB$127)</f>
        <v>0</v>
      </c>
      <c r="BC133" s="131">
        <f>SUMIF($E$4:$E$127,"211",$BC$4:$BC$127)</f>
        <v>1933381234</v>
      </c>
      <c r="BD133" s="131">
        <f>SUMIF($E$4:$E$127,"211",$BD$4:$BD$127)</f>
        <v>0</v>
      </c>
      <c r="BE133" s="131">
        <f>SUMIF($E$4:$E$127,"211",$BE$4:$BE$127)</f>
        <v>0</v>
      </c>
      <c r="BF133" s="131">
        <f>SUMIF($E$4:$E$127,"211",$BF$4:$BF$127)</f>
        <v>0</v>
      </c>
      <c r="BG133" s="131">
        <f>SUMIF($E$4:$E$127,"211",$BG$4:$BG$127)</f>
        <v>0</v>
      </c>
      <c r="BH133" s="131">
        <f>SUMIF($E$4:$E$127,"211",$BH$4:$BH$127)</f>
        <v>0</v>
      </c>
      <c r="BI133" s="131">
        <f>SUMIF($E$4:$E$127,"211",$BI$4:$BI$127)</f>
        <v>0</v>
      </c>
      <c r="BJ133" s="131">
        <f>SUMIF($E$4:$E$127,"211",$BJ$4:$BJ$127)</f>
        <v>0</v>
      </c>
      <c r="BK133" s="131">
        <f>SUMIF($E$4:$E$127,"211",$BK$4:$BK$127)</f>
        <v>10432388</v>
      </c>
      <c r="BL133" s="131">
        <f>SUMIF($E$4:$E$127,"211",$BL$4:$BL$127)</f>
        <v>0</v>
      </c>
      <c r="BM133" s="131">
        <f>SUMIF($E$4:$E$127,"211",$BM$4:$BM$127)</f>
        <v>130000000</v>
      </c>
      <c r="BN133" s="131">
        <f>SUMIF($E$4:$E$127,"211",$BN$4:$BN$127)</f>
        <v>0</v>
      </c>
      <c r="BO133" s="131">
        <f>SUMIF($E$4:$E$127,"211",$BO$4:$BO$127)</f>
        <v>0</v>
      </c>
      <c r="BP133" s="131">
        <f>SUMIF($E$4:$E$127,"211",$BP$4:$BP$127)</f>
        <v>0</v>
      </c>
      <c r="BQ133" s="131"/>
      <c r="BR133" s="131">
        <f>SUMIF($E$4:$E$127,"211",$BR$4:$BR$127)</f>
        <v>0</v>
      </c>
      <c r="BS133" s="131">
        <f>SUMIF($E$4:$E$127,"211",$BS$4:$BS$127)</f>
        <v>0</v>
      </c>
      <c r="BT133" s="132">
        <f>SUMIF($E$4:$E$127,"211",$BT$4:$BT$127)</f>
        <v>145838473</v>
      </c>
      <c r="BU133" s="133">
        <f t="shared" si="172"/>
        <v>0.2599084636034365</v>
      </c>
      <c r="BV133" s="39">
        <f t="shared" si="173"/>
        <v>1111103130</v>
      </c>
      <c r="BW133" s="128">
        <f>SUMIF($E$4:$E$127,"211",$BW$4:$BW$127)</f>
        <v>0</v>
      </c>
      <c r="BX133" s="128">
        <f>SUMIF($E$4:$E$127,"211",$BX$4:$BX$127)</f>
        <v>0</v>
      </c>
      <c r="BY133" s="128">
        <f>SUMIF($E$4:$E$127,"211",$BY$4:$BY$127)</f>
        <v>932371545</v>
      </c>
      <c r="BZ133" s="128">
        <f>SUMIF($E$4:$E$127,"211",$BZ$4:$BZ$127)</f>
        <v>0</v>
      </c>
      <c r="CA133" s="128">
        <f>SUMIF($E$4:$E$127,"211",$CA$4:$CA$127)</f>
        <v>0</v>
      </c>
      <c r="CB133" s="128">
        <f>SUMIF($E$4:$E$127,"211",$CB$4:$CB$127)</f>
        <v>0</v>
      </c>
      <c r="CC133" s="128">
        <f>SUMIF($E$4:$E$127,"211",$CC$4:$CC$127)</f>
        <v>0</v>
      </c>
      <c r="CD133" s="128">
        <f>SUMIF($E$4:$E$127,"211",$CD$4:$CD$127)</f>
        <v>0</v>
      </c>
      <c r="CE133" s="128">
        <f>SUMIF($E$4:$E$127,"211",$CE$4:$CE$127)</f>
        <v>0</v>
      </c>
      <c r="CF133" s="128">
        <f>SUMIF($E$4:$E$127,"211",$CF$4:$CF$127)</f>
        <v>0</v>
      </c>
      <c r="CG133" s="128">
        <f>SUMIF($E$4:$E$127,"211",$CG$4:$CG$127)</f>
        <v>15000000</v>
      </c>
      <c r="CH133" s="128">
        <f>SUMIF($E$4:$E$127,"211",$CH$4:$CH$127)</f>
        <v>0</v>
      </c>
      <c r="CI133" s="128">
        <f>SUMIF($E$4:$E$127,"211",$CI$4:$CI$127)</f>
        <v>113924726</v>
      </c>
      <c r="CJ133" s="128">
        <f>SUMIF($E$4:$E$127,"211",$CJ$4:$CJ$127)</f>
        <v>0</v>
      </c>
      <c r="CK133" s="128">
        <f>SUMIF($E$4:$E$127,"211",$CK$4:$CK$127)</f>
        <v>0</v>
      </c>
      <c r="CL133" s="128">
        <f>SUMIF($E$4:$E$127,"211",$CL$4:$CL$127)</f>
        <v>0</v>
      </c>
      <c r="CM133" s="128">
        <f>SUMIF($E$4:$E$127,"211",$CM$4:$CM$127)</f>
        <v>0</v>
      </c>
      <c r="CN133" s="128">
        <f>SUMIF($E$4:$E$127,"211",$CN$4:$CN$127)</f>
        <v>0</v>
      </c>
      <c r="CO133" s="128">
        <f>SUMIF($E$4:$E$127,"211",$CO$4:$CO$127)</f>
        <v>0</v>
      </c>
      <c r="CP133" s="134">
        <f>SUMIF($E$4:$E$127,"211",$CP$4:$CP$127)</f>
        <v>49806859</v>
      </c>
      <c r="CQ133" s="29">
        <f t="shared" si="174"/>
        <v>0.74009153639656344</v>
      </c>
      <c r="CR133" s="32">
        <f t="shared" ca="1" si="175"/>
        <v>3163875509</v>
      </c>
      <c r="CS133" s="131">
        <f>SUMIF($E$4:$E$127,"211",$CS$4:$CS$127)</f>
        <v>0</v>
      </c>
      <c r="CT133" s="131">
        <f ca="1">SUMIF($E$4:$E$128,"211",$CT$4:$CT$127)</f>
        <v>0</v>
      </c>
      <c r="CU133" s="131">
        <f>SUMIF($E$4:$E$127,"211",$CU$4:$CU$127)</f>
        <v>2666363664</v>
      </c>
      <c r="CV133" s="131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5">
        <f>SUMIF($E$4:$E$127,"211",$CZ$4:$CZ$127)</f>
        <v>0</v>
      </c>
      <c r="DA133" s="135">
        <f>SUMIF($E$4:$E$127,"211",$DA$4:$DA$127)</f>
        <v>0</v>
      </c>
      <c r="DB133" s="135">
        <f>SUMIF($E$4:$E$127,"211",$DB$4:$DB$127)</f>
        <v>0</v>
      </c>
      <c r="DC133" s="135">
        <f>SUMIF($E$4:$E$127,"211",$DC$4:$DC$127)</f>
        <v>80432388</v>
      </c>
      <c r="DD133" s="135">
        <f>SUMIF($E$4:$E$127,"211",$DD$4:$DD$127)</f>
        <v>0</v>
      </c>
      <c r="DE133" s="135">
        <f>SUMIF($E$4:$E$127,"211",$DE$4:$DE$127)</f>
        <v>266075274</v>
      </c>
      <c r="DF133" s="135">
        <f>SUMIF($E$4:$E$127,"211",$DF$4:$DF$127)</f>
        <v>0</v>
      </c>
      <c r="DG133" s="135">
        <f>SUMIF($E$4:$E$127,"211",$DG$4:$DG$127)</f>
        <v>0</v>
      </c>
      <c r="DH133" s="135">
        <f>SUMIF($E$4:$E$127,"211",$DH$4:$DH$127)</f>
        <v>0</v>
      </c>
      <c r="DI133" s="135">
        <f>SUMIF($E$4:$E$127,"211",$DI$4:$DI$127)</f>
        <v>0</v>
      </c>
      <c r="DJ133" s="135">
        <f>SUMIF($E$4:$E$127,"211",$DJ$4:$DJ$127)</f>
        <v>0</v>
      </c>
      <c r="DK133" s="135">
        <f>SUMIF($E$4:$E$127,"211",$DK$4:$DK$127)</f>
        <v>0</v>
      </c>
      <c r="DL133" s="135">
        <f>SUMIF($E$4:$E$127,"211",$DL$4:$DL$127)</f>
        <v>151004183</v>
      </c>
    </row>
    <row r="134" spans="3:116" ht="16.5" customHeight="1" x14ac:dyDescent="0.25">
      <c r="C134" s="136"/>
      <c r="D134" s="126" t="s">
        <v>358</v>
      </c>
      <c r="E134" s="119">
        <v>310</v>
      </c>
      <c r="F134" s="127"/>
      <c r="G134" s="128">
        <f>SUMIF($E$4:$E$127,"310",$G$4:$G$128)</f>
        <v>1077368096</v>
      </c>
      <c r="H134" s="128">
        <f>SUMIF($E$4:$E$127,"310",$H$4:$H$127)</f>
        <v>0</v>
      </c>
      <c r="I134" s="129">
        <f>SUMIF($E$4:$E$127,"310",$I$4:$I$127)</f>
        <v>0</v>
      </c>
      <c r="J134" s="129">
        <f>SUMIF($E$4:$E$127,"310",$J$4:$J$127)</f>
        <v>421000000</v>
      </c>
      <c r="K134" s="128">
        <f>SUMIF($E$4:$E$127,"310",$K$4:$K$127)</f>
        <v>0</v>
      </c>
      <c r="L134" s="127">
        <f>SUMIF($E$4:$E$127,"310",$L$4:$L$127)</f>
        <v>586368096</v>
      </c>
      <c r="M134" s="127">
        <f>SUMIF($E$4:$E$127,"310",$M$4:$M$127)</f>
        <v>0</v>
      </c>
      <c r="N134" s="127">
        <f>SUMIF($E$4:$E$127,"310",$N$4:$N$127)</f>
        <v>0</v>
      </c>
      <c r="O134" s="127">
        <f>SUMIF($E$4:$E$127,"310",$O$4:$O$127)</f>
        <v>0</v>
      </c>
      <c r="P134" s="127">
        <f>SUMIF($E$4:$E$127,"310",$P$4:$P$127)</f>
        <v>0</v>
      </c>
      <c r="Q134" s="127">
        <f>SUMIF($E$4:$E$127,"310",$Q$4:$Q$127)</f>
        <v>0</v>
      </c>
      <c r="R134" s="127">
        <f>SUMIF($E$4:$E$127,"310",$R$4:$R$127)</f>
        <v>0</v>
      </c>
      <c r="S134" s="127">
        <f>SUMIF($E$4:$E$127,"310",$S$4:$S$127)</f>
        <v>0</v>
      </c>
      <c r="T134" s="127">
        <f>SUMIF($E$4:$E$127,"310",$T$4:$T$127)</f>
        <v>0</v>
      </c>
      <c r="U134" s="127">
        <f>SUMIF($E$4:$E$127,"310",$U$4:$U$127)</f>
        <v>0</v>
      </c>
      <c r="V134" s="127">
        <f>SUMIF($E$4:$E$127,"310",$V$4:$V$127)</f>
        <v>0</v>
      </c>
      <c r="W134" s="127">
        <f>SUMIF($E$4:$E$119,"310",$W$4:$W$119)</f>
        <v>0</v>
      </c>
      <c r="X134" s="127"/>
      <c r="Y134" s="127">
        <f>SUMIF($E$4:$E$127,"310",$Y$4:$Y$127)</f>
        <v>0</v>
      </c>
      <c r="Z134" s="127">
        <f>SUMIF($E$4:$E$127,"310",$Z$4:$Z$127)</f>
        <v>0</v>
      </c>
      <c r="AA134" s="127">
        <f>SUMIF($E$4:$E$127,"310",$AA$4:$AA$127)</f>
        <v>70000000</v>
      </c>
      <c r="AC134" s="130">
        <f t="shared" si="168"/>
        <v>0.45021723383202911</v>
      </c>
      <c r="AD134" s="39">
        <f t="shared" si="169"/>
        <v>485049684</v>
      </c>
      <c r="AE134" s="128">
        <f>SUMIF($E$4:$E$127,"310",$AE$4:$AE$127)</f>
        <v>0</v>
      </c>
      <c r="AF134" s="128">
        <f>SUMIF($E$4:$E$127,"310",$AF$4:$AF$127)</f>
        <v>0</v>
      </c>
      <c r="AG134" s="128">
        <f>SUMIF($E$4:$E$127,"310",$AG$4:$AG$127)</f>
        <v>50285937</v>
      </c>
      <c r="AH134" s="128">
        <f>SUMIF($E$4:$E$127,"310",$AH$4:$AH$127)</f>
        <v>0</v>
      </c>
      <c r="AI134" s="128">
        <f>SUMIF($E$4:$E$127,"310",$AI$4:$AI$127)</f>
        <v>423283246</v>
      </c>
      <c r="AJ134" s="128">
        <f>SUMIF($E$4:$E$127,"310",$AJ$4:$AJ$127)</f>
        <v>0</v>
      </c>
      <c r="AK134" s="128">
        <f>SUMIF($E$4:$E$127,"310",$AK$4:$AK$127)</f>
        <v>0</v>
      </c>
      <c r="AL134" s="128">
        <f>SUMIF($E$4:$E$127,"310",$AL$4:$AL$127)</f>
        <v>0</v>
      </c>
      <c r="AM134" s="128">
        <f>SUMIF($E$4:$E$127,"310",$AM$4:$AM$127)</f>
        <v>0</v>
      </c>
      <c r="AN134" s="128">
        <f>SUMIF($E$4:$E$127,"310",$AN$4:$AN$127)</f>
        <v>0</v>
      </c>
      <c r="AO134" s="128">
        <f>SUMIF($E$4:$E$127,"310",$AO$4:$AO$127)</f>
        <v>0</v>
      </c>
      <c r="AP134" s="128">
        <f>SUMIF($E$4:$E$127,"310",$AP$4:$AP$127)</f>
        <v>0</v>
      </c>
      <c r="AQ134" s="128">
        <f>SUMIF($E$4:$E$127,"310",$AQ$4:$AQ$127)</f>
        <v>0</v>
      </c>
      <c r="AR134" s="128">
        <f>SUMIF($E$4:$E$127,"310",$AR$4:$AR$127)</f>
        <v>0</v>
      </c>
      <c r="AS134" s="128">
        <f>SUMIF($E$4:$E$127,"310",$AS$4:$AS$127)</f>
        <v>0</v>
      </c>
      <c r="AT134" s="128">
        <f>SUMIF($E$4:$E$127,"310",$AT$4:$AT$127)</f>
        <v>0</v>
      </c>
      <c r="AU134" s="128">
        <f>SUMIF($E$4:$E$127,"310",$AU$4:$AU$127)</f>
        <v>0</v>
      </c>
      <c r="AV134" s="128">
        <f>SUMIF($E$4:$E$127,"310",$AV$4:$AV$127)</f>
        <v>0</v>
      </c>
      <c r="AW134" s="128">
        <f>SUMIF($E$4:$E$127,"310",$AW$4:$AW$127)</f>
        <v>0</v>
      </c>
      <c r="AX134" s="128">
        <f>SUMIF($E$4:$E$127,"310",$AX$4:$AX$127)</f>
        <v>11480501</v>
      </c>
      <c r="AY134" s="113">
        <f t="shared" si="170"/>
        <v>0.54978276616797084</v>
      </c>
      <c r="AZ134" s="32">
        <f t="shared" si="171"/>
        <v>592318412</v>
      </c>
      <c r="BA134" s="131">
        <f>SUMIF($E$4:$E$127,"310",$BA$4:$BA$127)</f>
        <v>0</v>
      </c>
      <c r="BB134" s="131">
        <f>SUMIF($E$4:$E$127,"310",$BB$4:$BB$127)</f>
        <v>0</v>
      </c>
      <c r="BC134" s="131">
        <f>SUMIF($E$4:$E$127,"310",$BC$4:$BC$127)</f>
        <v>370714063</v>
      </c>
      <c r="BD134" s="131">
        <f>SUMIF($E$4:$E$127,"310",$BD$4:$BD$127)</f>
        <v>0</v>
      </c>
      <c r="BE134" s="131">
        <f>SUMIF($E$4:$E$127,"310",$BE$4:$BE$127)</f>
        <v>163084850</v>
      </c>
      <c r="BF134" s="131">
        <f>SUMIF($E$4:$E$127,"310",$BF$4:$BF$127)</f>
        <v>0</v>
      </c>
      <c r="BG134" s="131">
        <f>SUMIF($E$4:$E$127,"310",$BG$4:$BG$127)</f>
        <v>0</v>
      </c>
      <c r="BH134" s="131">
        <f>SUMIF($E$4:$E$127,"310",$BH$4:$BH$127)</f>
        <v>0</v>
      </c>
      <c r="BI134" s="131">
        <f>SUMIF($E$4:$E$127,"310",$BI$4:$BI$127)</f>
        <v>0</v>
      </c>
      <c r="BJ134" s="131">
        <f>SUMIF($E$4:$E$127,"310",$BJ$4:$BJ$127)</f>
        <v>0</v>
      </c>
      <c r="BK134" s="131">
        <f>SUMIF($E$4:$E$127,"310",$BK$4:$BK$127)</f>
        <v>0</v>
      </c>
      <c r="BL134" s="131">
        <f>SUMIF($E$4:$E$127,"310",$BL$4:$BL$127)</f>
        <v>0</v>
      </c>
      <c r="BM134" s="131">
        <f>SUMIF($E$4:$E$127,"310",$BM$4:$BM$127)</f>
        <v>0</v>
      </c>
      <c r="BN134" s="131">
        <f>SUMIF($E$4:$E$127,"310",$BN$4:$BN$127)</f>
        <v>0</v>
      </c>
      <c r="BO134" s="131">
        <f>SUMIF($E$4:$E$127,"310",$BO$4:$BO$127)</f>
        <v>0</v>
      </c>
      <c r="BP134" s="131">
        <f>SUMIF($E$4:$E$127,"310",$BP$4:$BP$127)</f>
        <v>0</v>
      </c>
      <c r="BQ134" s="131">
        <f>SUMIF($E$4:$E$127,"310",$BP$4:$BP$127)</f>
        <v>0</v>
      </c>
      <c r="BR134" s="131">
        <f>SUMIF($E$4:$E$127,"310",$BR$4:$BR$127)</f>
        <v>0</v>
      </c>
      <c r="BS134" s="131">
        <f>SUMIF($E$4:$E$127,"310",$BS$4:$BS$127)</f>
        <v>0</v>
      </c>
      <c r="BT134" s="132">
        <f>SUMIF($E$4:$E$127,"310",$BT$4:$BT$127)</f>
        <v>58519499</v>
      </c>
      <c r="BU134" s="133">
        <f t="shared" si="172"/>
        <v>0.27249626296711871</v>
      </c>
      <c r="BV134" s="39">
        <f t="shared" si="173"/>
        <v>293578780</v>
      </c>
      <c r="BW134" s="128">
        <f>SUMIF($E$4:$E$127,"310",$BW$4:$BW$127)</f>
        <v>0</v>
      </c>
      <c r="BX134" s="128">
        <f>SUMIF($E$4:$E$127,"310",$BX$4:$BX$127)</f>
        <v>0</v>
      </c>
      <c r="BY134" s="128">
        <f>SUMIF($E$4:$E$127,"310",$BY$4:$BY$127)</f>
        <v>50285937</v>
      </c>
      <c r="BZ134" s="128">
        <f>SUMIF($E$4:$E$127,"310",$BZ$4:$BZ$127)</f>
        <v>0</v>
      </c>
      <c r="CA134" s="128">
        <f>SUMIF($E$4:$E$127,"310",$CA$4:$CA$127)</f>
        <v>231868006</v>
      </c>
      <c r="CB134" s="128">
        <f>SUMIF($E$4:$E$127,"310",$CB$4:$CB$127)</f>
        <v>0</v>
      </c>
      <c r="CC134" s="128">
        <f>SUMIF($E$4:$E$127,"310",$CC$4:$CC$127)</f>
        <v>0</v>
      </c>
      <c r="CD134" s="128">
        <f>SUMIF($E$4:$E$127,"310",$CD$4:$CD$127)</f>
        <v>0</v>
      </c>
      <c r="CE134" s="128">
        <f>SUMIF($E$4:$E$127,"310",$CE$4:$CE$127)</f>
        <v>0</v>
      </c>
      <c r="CF134" s="128">
        <f>SUMIF($E$4:$E$127,"310",$CF$4:$CF$127)</f>
        <v>0</v>
      </c>
      <c r="CG134" s="128">
        <f>SUMIF($E$4:$E$127,"310",$CG$4:$CG$127)</f>
        <v>0</v>
      </c>
      <c r="CH134" s="128">
        <f>SUMIF($E$4:$E$127,"310",$CH$4:$CH$127)</f>
        <v>0</v>
      </c>
      <c r="CI134" s="128">
        <f>SUMIF($E$4:$E$127,"310",$CI$4:$CI$127)</f>
        <v>0</v>
      </c>
      <c r="CJ134" s="128">
        <f>SUMIF($E$4:$E$127,"310",$CJ$4:$CJ$127)</f>
        <v>0</v>
      </c>
      <c r="CK134" s="128">
        <f>SUMIF($E$4:$E$127,"310",$CK$4:$CK$127)</f>
        <v>0</v>
      </c>
      <c r="CL134" s="128">
        <f>SUMIF($E$4:$E$127,"310",$CL$4:$CL$127)</f>
        <v>0</v>
      </c>
      <c r="CM134" s="128">
        <f>SUMIF($E$4:$E$127,"310",$CM$4:$CM$127)</f>
        <v>0</v>
      </c>
      <c r="CN134" s="128">
        <f>SUMIF($E$4:$E$127,"310",$CN$4:$CN$127)</f>
        <v>0</v>
      </c>
      <c r="CO134" s="128">
        <f>SUMIF($E$4:$E$127,"310",$CO$4:$CO$127)</f>
        <v>0</v>
      </c>
      <c r="CP134" s="134">
        <f>SUMIF($E$4:$E$127,"310",$CP$4:$CP$127)</f>
        <v>11424837</v>
      </c>
      <c r="CQ134" s="29">
        <f t="shared" si="174"/>
        <v>0.72750373703288129</v>
      </c>
      <c r="CR134" s="32">
        <f t="shared" si="175"/>
        <v>783789316</v>
      </c>
      <c r="CS134" s="131">
        <f>SUMIF($E$4:$E$127,"310",$CS$4:$CS$127)</f>
        <v>0</v>
      </c>
      <c r="CT134" s="131">
        <f>SUMIF($E$4:$E$127,"310",$CT$4:$CT$127)</f>
        <v>0</v>
      </c>
      <c r="CU134" s="131">
        <f>SUMIF($E$4:$E$127,"310",$CU$4:$CU$127)</f>
        <v>370714063</v>
      </c>
      <c r="CV134" s="131">
        <f>SUMIF($E$4:$E$127,"310",$CV$4:$CV$127)</f>
        <v>0</v>
      </c>
      <c r="CW134" s="131">
        <f>SUMIF($E$4:$E$127,"310",$CW$4:$CW$127)</f>
        <v>354500090</v>
      </c>
      <c r="CX134" s="131">
        <f>SUMIF($E$4:$E$127,"310",$CX$4:$CX$127)</f>
        <v>0</v>
      </c>
      <c r="CY134" s="131">
        <f>SUMIF($E$4:$E$127,"310",$CY$4:$CY$127)</f>
        <v>0</v>
      </c>
      <c r="CZ134" s="135">
        <f>SUMIF($E$4:$E$127,"310",$CZ$4:$CZ$127)</f>
        <v>0</v>
      </c>
      <c r="DA134" s="135">
        <f>SUMIF($E$4:$E$127,"310",$DA$4:$DA$127)</f>
        <v>0</v>
      </c>
      <c r="DB134" s="135">
        <f>SUMIF($E$4:$E$127,"310",$DB$4:$DB$127)</f>
        <v>0</v>
      </c>
      <c r="DC134" s="135">
        <f>SUMIF($E$4:$E$127,"310",$DC$4:$DC$127)</f>
        <v>0</v>
      </c>
      <c r="DD134" s="135">
        <f>SUMIF($E$4:$E$127,"310",$DD$4:$DD$127)</f>
        <v>0</v>
      </c>
      <c r="DE134" s="135">
        <f>SUMIF($E$4:$E$127,"310",$DE$4:$DE$127)</f>
        <v>0</v>
      </c>
      <c r="DF134" s="135">
        <f>SUMIF($E$4:$E$127,"310",$DF$4:$DF$127)</f>
        <v>0</v>
      </c>
      <c r="DG134" s="135">
        <f>SUMIF($E$4:$E$127,"310",$DG$4:$DG$127)</f>
        <v>0</v>
      </c>
      <c r="DH134" s="135">
        <f>SUMIF($E$4:$E$127,"310",$DH$4:$DH$127)</f>
        <v>0</v>
      </c>
      <c r="DI134" s="135">
        <f>SUMIF($E$4:$E$127,"310",$DI$4:$DI$127)</f>
        <v>0</v>
      </c>
      <c r="DJ134" s="135">
        <f>SUMIF($E$4:$E$127,"310",$DJ$4:$DJ$127)</f>
        <v>0</v>
      </c>
      <c r="DK134" s="135">
        <f>SUMIF($E$4:$E$127,"310",$DK$4:$DK$127)</f>
        <v>0</v>
      </c>
      <c r="DL134" s="135">
        <f>SUMIF($E$4:$E$127,"310",$DL$4:$DL$127)</f>
        <v>58575163</v>
      </c>
    </row>
    <row r="135" spans="3:116" x14ac:dyDescent="0.25">
      <c r="C135" s="137"/>
      <c r="D135" s="126" t="s">
        <v>359</v>
      </c>
      <c r="E135" s="119">
        <v>410</v>
      </c>
      <c r="F135" s="127"/>
      <c r="G135" s="128">
        <f>SUMIF($E$4:$E$127,"410",$G$4:$G$127)</f>
        <v>4334106780</v>
      </c>
      <c r="H135" s="128">
        <f>SUMIF($E$4:$E$127,"410",$H$4:$H$127)</f>
        <v>0</v>
      </c>
      <c r="I135" s="129">
        <f>SUMIF($E$4:$E$127,"410",$I$4:$I$127)</f>
        <v>0</v>
      </c>
      <c r="J135" s="129">
        <f>SUMIF($E$4:$E$128,"410",$J$4:$J$128)</f>
        <v>1163096695</v>
      </c>
      <c r="K135" s="128">
        <f>SUMIF($E$4:$E$127,"410",$K$4:$K$127)</f>
        <v>0</v>
      </c>
      <c r="L135" s="127">
        <f>SUMIF($E$4:$E$127,"410",$L$4:$L$127)</f>
        <v>0</v>
      </c>
      <c r="M135" s="127">
        <f>SUMIF($E$4:$E$127,"410",$M$4:$M$127)</f>
        <v>74368590</v>
      </c>
      <c r="N135" s="127">
        <f>SUMIF($E$4:$E$127,"410",$N$4:$N$127)</f>
        <v>0</v>
      </c>
      <c r="O135" s="127">
        <f>SUMIF($E$4:$E$127,"410",$O$4:$O$127)</f>
        <v>0</v>
      </c>
      <c r="P135" s="127">
        <f>SUMIF($E$4:$E$127,"410",$P$4:$P$127)</f>
        <v>0</v>
      </c>
      <c r="Q135" s="127">
        <f>SUMIF($E$4:$E$127,"410",$Q$4:$Q$127)</f>
        <v>0</v>
      </c>
      <c r="R135" s="127">
        <f>SUMIF($E$4:$E$127,"410",$R$4:$R$127)</f>
        <v>0</v>
      </c>
      <c r="S135" s="127">
        <f>SUMIF($E$4:$E$127,"410",$S$4:$S$127)</f>
        <v>1344000000</v>
      </c>
      <c r="T135" s="127">
        <f>SUMIF($E$4:$E$127,"410",$T$4:$T$127)</f>
        <v>387696735</v>
      </c>
      <c r="U135" s="127">
        <f>SUMIF($E$4:$E$127,"410",$U$4:$U$127)</f>
        <v>0</v>
      </c>
      <c r="V135" s="127">
        <f>SUMIF($E$4:$E$119,"410",$V$4:$V$119)</f>
        <v>1054833768</v>
      </c>
      <c r="W135" s="127">
        <f>SUMIF($E$4:$E$119,"410",$W$4:$W$119)</f>
        <v>0</v>
      </c>
      <c r="X135" s="127">
        <f>SUMIF($E$4:$E$127,"410",$X$4:$X$127)</f>
        <v>11169156</v>
      </c>
      <c r="Y135" s="127">
        <f>SUMIF($E$4:$E$127,"410",$Y$4:$Y$127)</f>
        <v>0</v>
      </c>
      <c r="Z135" s="127">
        <f>SUMIF($E$4:$E$127,"410",$Z$4:$Z$127)</f>
        <v>204741836</v>
      </c>
      <c r="AA135" s="127">
        <f>SUMIF($E$4:$E$127,"410",$AA$4:$AA$127)</f>
        <v>94200000</v>
      </c>
      <c r="AC135" s="130">
        <f t="shared" si="168"/>
        <v>0.70007118052592143</v>
      </c>
      <c r="AD135" s="32">
        <f t="shared" si="169"/>
        <v>3034183250</v>
      </c>
      <c r="AE135" s="128">
        <f>SUMIF($E$4:$E$127,"410",$AE$4:$AE$127)</f>
        <v>0</v>
      </c>
      <c r="AF135" s="128">
        <f>SUMIF($E$4:$E$127,"410",$AF$4:$AF$127)</f>
        <v>0</v>
      </c>
      <c r="AG135" s="128">
        <f>SUMIF($E$4:$E$127,"410",$AG$4:$AG$127)</f>
        <v>702842156</v>
      </c>
      <c r="AH135" s="128">
        <f>SUMIF($E$4:$E$127,"410",$AH$4:$AH$127)</f>
        <v>0</v>
      </c>
      <c r="AI135" s="128">
        <f>SUMIF($E$4:$E$127,"410",$AI$4:$AI$127)</f>
        <v>0</v>
      </c>
      <c r="AJ135" s="128">
        <f>SUMIF($E$4:$E$127,"410",$AJ$4:$AJ$127)</f>
        <v>0</v>
      </c>
      <c r="AK135" s="128">
        <f>SUMIF($E$4:$E$127,"410",$AK$4:$AK$127)</f>
        <v>0</v>
      </c>
      <c r="AL135" s="128">
        <f>SUMIF($E$4:$E$127,"410",$AL$4:$AL$127)</f>
        <v>0</v>
      </c>
      <c r="AM135" s="128">
        <f>SUMIF($E$4:$E$127,"410",$AM$4:$AM$127)</f>
        <v>0</v>
      </c>
      <c r="AN135" s="128">
        <f>SUMIF($E$4:$E$127,"410",$AN$4:$AN$127)</f>
        <v>0</v>
      </c>
      <c r="AO135" s="128">
        <f>SUMIF($E$4:$E$127,"410",$AO$4:$AO$127)</f>
        <v>0</v>
      </c>
      <c r="AP135" s="128">
        <f>SUMIF($E$4:$E$127,"410",$AP$4:$AP$127)</f>
        <v>1300000000</v>
      </c>
      <c r="AQ135" s="128">
        <f>SUMIF($E$4:$E$127,"410",$AQ$4:$AQ$127)</f>
        <v>216735177</v>
      </c>
      <c r="AR135" s="128">
        <f>SUMIF($E$4:$E$127,"410",$AR$4:$AR$127)</f>
        <v>0</v>
      </c>
      <c r="AS135" s="128">
        <f>SUMIF($E$4:$E$127,"410",$AS$4:$AS$127)</f>
        <v>747530233</v>
      </c>
      <c r="AT135" s="128">
        <f>SUMIF($E$4:$E$127,"410",$AT$4:$AT$127)</f>
        <v>0</v>
      </c>
      <c r="AU135" s="128">
        <f>SUMIF($E$4:$E$127,"410",$AU$4:$AU$127)</f>
        <v>0</v>
      </c>
      <c r="AV135" s="128">
        <f>SUMIF($E$4:$E$127,"410",$AV$4:$AV$127)</f>
        <v>0</v>
      </c>
      <c r="AW135" s="128">
        <f>SUMIF($E$4:$E$127,"410",$AW$4:$AW$127)</f>
        <v>23350298</v>
      </c>
      <c r="AX135" s="128">
        <f>SUMIF($E$4:$E$127,"410",$AX$4:$AX$127)</f>
        <v>43725386</v>
      </c>
      <c r="AY135" s="113">
        <f t="shared" si="170"/>
        <v>0.29992881947407857</v>
      </c>
      <c r="AZ135" s="32">
        <f t="shared" si="171"/>
        <v>1299923530</v>
      </c>
      <c r="BA135" s="131">
        <f>SUMIF($E$4:$E$127,"410",$BA$4:$BA$127)</f>
        <v>0</v>
      </c>
      <c r="BB135" s="131">
        <f>SUMIF($E$4:$E$127,"410",$BB$4:$BB$127)</f>
        <v>0</v>
      </c>
      <c r="BC135" s="131">
        <f>SUMIF($E$4:$E$127,"410",$BC$4:$BC$127)</f>
        <v>460254539</v>
      </c>
      <c r="BD135" s="131">
        <f>SUMIF($E$4:$E$127,"410",$BD$4:$BD$127)</f>
        <v>0</v>
      </c>
      <c r="BE135" s="131">
        <f>SUMIF($E$4:$E$127,"410",$BE$4:$BE$127)</f>
        <v>0</v>
      </c>
      <c r="BF135" s="131">
        <f>SUMIF($E$4:$E$127,"410",$BF$4:$BF$127)</f>
        <v>74368590</v>
      </c>
      <c r="BG135" s="131">
        <f>SUMIF($E$4:$E$127,"410",$BG$4:$BG$127)</f>
        <v>0</v>
      </c>
      <c r="BH135" s="131">
        <f>SUMIF($E$4:$E$127,"410",$BH$4:$BH$127)</f>
        <v>0</v>
      </c>
      <c r="BI135" s="131">
        <f>SUMIF($E$4:$E$127,"410",$BI$4:$BI$127)</f>
        <v>0</v>
      </c>
      <c r="BJ135" s="131">
        <f>SUMIF($E$4:$E$127,"410",$BJ$4:$BJ$127)</f>
        <v>0</v>
      </c>
      <c r="BK135" s="131">
        <f>SUMIF($E$4:$E$127,"410",$BK$4:$BK$127)</f>
        <v>0</v>
      </c>
      <c r="BL135" s="131">
        <f>SUMIF($E$4:$E$127,"410",$BL$4:$BL$127)</f>
        <v>44000000</v>
      </c>
      <c r="BM135" s="131">
        <f>SUMIF($E$4:$E$127,"410",$BM$4:$BM$127)</f>
        <v>170961558</v>
      </c>
      <c r="BN135" s="131">
        <f>SUMIF($E$4:$E$127,"410",$BN$4:$BN$127)</f>
        <v>0</v>
      </c>
      <c r="BO135" s="131">
        <f>SUMIF($E$4:$E$127,"410",$BO$4:$BO$127)</f>
        <v>307303535</v>
      </c>
      <c r="BP135" s="131">
        <f>SUMIF($E$4:$E$127,"510",$BP$4:$BP$127)</f>
        <v>0</v>
      </c>
      <c r="BQ135" s="131">
        <f>SUMIF($E$4:$E$127,"410",$BQ$4:$BQ$127)</f>
        <v>11169156</v>
      </c>
      <c r="BR135" s="131">
        <f>SUMIF($E$4:$E$127,"410",$BR$4:$BR$127)</f>
        <v>0</v>
      </c>
      <c r="BS135" s="131">
        <f>SUMIF($E$4:$E$127,"410",$BS$4:$BS$127)</f>
        <v>181391538</v>
      </c>
      <c r="BT135" s="132">
        <f>SUMIF($E$4:$E$127,"410",$BT$4:$BT$127)</f>
        <v>50474614</v>
      </c>
      <c r="BU135" s="133">
        <f t="shared" si="172"/>
        <v>0.5147910419041406</v>
      </c>
      <c r="BV135" s="32">
        <f t="shared" si="173"/>
        <v>2231159345</v>
      </c>
      <c r="BW135" s="128">
        <f>SUMIF($E$4:$E$127,"410",$BW$4:$BW$127)</f>
        <v>0</v>
      </c>
      <c r="BX135" s="128">
        <f>SUMIF($E$4:$E$127,"410",$BX$4:$BX$127)</f>
        <v>0</v>
      </c>
      <c r="BY135" s="128">
        <f>SUMIF($E$4:$E$127,"410",$BY$4:$BY$127)</f>
        <v>560130573</v>
      </c>
      <c r="BZ135" s="128">
        <f>SUMIF($E$4:$E$127,"410",$BZ$4:$BZ$127)</f>
        <v>0</v>
      </c>
      <c r="CA135" s="128">
        <f>SUMIF($E$4:$E$127,"410",$CA$4:$CA$127)</f>
        <v>0</v>
      </c>
      <c r="CB135" s="128">
        <f>SUMIF($E$4:$E$127,"410",$CB$4:$CB$127)</f>
        <v>0</v>
      </c>
      <c r="CC135" s="128">
        <f>SUMIF($E$4:$E$127,"410",$CC$4:$CC$127)</f>
        <v>0</v>
      </c>
      <c r="CD135" s="128">
        <f>SUMIF($E$4:$E$127,"410",$CD$4:$CD$127)</f>
        <v>0</v>
      </c>
      <c r="CE135" s="128">
        <f>SUMIF($E$4:$E$127,"410",$CE$4:$CE$127)</f>
        <v>0</v>
      </c>
      <c r="CF135" s="128">
        <f>SUMIF($E$4:$E$127,"410",$CF$4:$CF$127)</f>
        <v>0</v>
      </c>
      <c r="CG135" s="128">
        <f>SUMIF($E$4:$E$127,"410",$CG$4:$CG$127)</f>
        <v>0</v>
      </c>
      <c r="CH135" s="128">
        <f>SUMIF($E$4:$E$127,"410",$CH$4:$CH$127)</f>
        <v>736592397</v>
      </c>
      <c r="CI135" s="128">
        <f>SUMIF($E$4:$E$127,"410",$CI$4:$CI$127)</f>
        <v>216735177</v>
      </c>
      <c r="CJ135" s="128">
        <f>SUMIF($E$4:$E$127,"410",$CJ$4:$CJ$127)</f>
        <v>0</v>
      </c>
      <c r="CK135" s="128">
        <f>SUMIF($E$4:$E$127,"410",$CK$4:$CK$127)</f>
        <v>659625514</v>
      </c>
      <c r="CL135" s="128">
        <f>SUMIF($E$4:$E$127,"410",$CL$4:$CL$127)</f>
        <v>0</v>
      </c>
      <c r="CM135" s="128">
        <f>SUMIF($E$4:$E$127,"410",$CM$4:$CM$127)</f>
        <v>0</v>
      </c>
      <c r="CN135" s="128">
        <f>SUMIF($E$4:$E$127,"410",$CN$4:$CN$127)</f>
        <v>0</v>
      </c>
      <c r="CO135" s="128">
        <f>SUMIF($E$4:$E$127,"410",$CO$4:$CO$127)</f>
        <v>23350298</v>
      </c>
      <c r="CP135" s="134">
        <f>SUMIF($E$4:$E$127,"410",$CP$4:$CP$127)</f>
        <v>34725386</v>
      </c>
      <c r="CQ135" s="29">
        <f t="shared" si="174"/>
        <v>0.4852089580958594</v>
      </c>
      <c r="CR135" s="32">
        <f t="shared" si="175"/>
        <v>2102947435</v>
      </c>
      <c r="CS135" s="131">
        <f>SUMIF($E$4:$E$127,"410",$CS$4:$CS$127)</f>
        <v>0</v>
      </c>
      <c r="CT135" s="131">
        <f>SUMIF($E$4:$E$127,"410",$CT$4:$CT$127)</f>
        <v>0</v>
      </c>
      <c r="CU135" s="131">
        <f>SUMIF($E$4:$E$127,"410",$CU$4:$CU$127)</f>
        <v>602966122</v>
      </c>
      <c r="CV135" s="131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74368590</v>
      </c>
      <c r="CY135" s="131">
        <f>SUMIF($E$4:$E$127,"410",$CY$4:$CY$127)</f>
        <v>0</v>
      </c>
      <c r="CZ135" s="135">
        <f>SUMIF($E$4:$E$127,"410",$CZ$4:$CZ$127)</f>
        <v>0</v>
      </c>
      <c r="DA135" s="135">
        <f>SUMIF($E$4:$E$127,"410",$DA$4:$DA$127)</f>
        <v>0</v>
      </c>
      <c r="DB135" s="135">
        <f>SUMIF($E$4:$E$127,"410",$DB$4:$DB$127)</f>
        <v>0</v>
      </c>
      <c r="DC135" s="135">
        <f>SUMIF($E$4:$E$127,"410",$DC$4:$DC$127)</f>
        <v>0</v>
      </c>
      <c r="DD135" s="135">
        <f>SUMIF($E$4:$E$127,"410",$DD$4:$DD$127)</f>
        <v>607407603</v>
      </c>
      <c r="DE135" s="135">
        <f>SUMIF($E$4:$E$127,"410",$DE$4:$DE$127)</f>
        <v>170961558</v>
      </c>
      <c r="DF135" s="135">
        <f>SUMIF($E$4:$E$127,"410",$DF$4:$DF$127)</f>
        <v>0</v>
      </c>
      <c r="DG135" s="135">
        <f>SUMIF($E$4:$E$127,"410",$DG$4:$DG$127)</f>
        <v>395208254</v>
      </c>
      <c r="DH135" s="135">
        <f>SUMIF($E$4:$E$127,"410",$DH$4:$DH$127)</f>
        <v>0</v>
      </c>
      <c r="DI135" s="135">
        <f>SUMIF($E$4:$E$127,"410",$DI$4:$DI$127)</f>
        <v>11169156</v>
      </c>
      <c r="DJ135" s="135">
        <f>SUMIF($E$4:$E$127,"410",$DJ$4:$DJ$127)</f>
        <v>0</v>
      </c>
      <c r="DK135" s="135">
        <f>SUMIF($E$4:$E$127,"410",$DK$4:$DK$127)</f>
        <v>181391538</v>
      </c>
      <c r="DL135" s="135">
        <f>SUMIF($E$4:$E$127,"410",$DL$4:$DL$127)</f>
        <v>59474614</v>
      </c>
    </row>
    <row r="136" spans="3:116" ht="14.25" customHeight="1" x14ac:dyDescent="0.25">
      <c r="C136" s="137"/>
      <c r="D136" s="138" t="s">
        <v>360</v>
      </c>
      <c r="E136" s="119">
        <v>510</v>
      </c>
      <c r="F136" s="127"/>
      <c r="G136" s="128">
        <f>SUMIF($E$4:$E$127,"510",$G$4:$G$127)</f>
        <v>971030977</v>
      </c>
      <c r="H136" s="128">
        <f>SUMIF($E$4:$E$127,"510",$H$4:$H$127)</f>
        <v>0</v>
      </c>
      <c r="I136" s="129">
        <f>SUMIF($E$4:$E$127,"510",$I$4:$I$127)</f>
        <v>0</v>
      </c>
      <c r="J136" s="129">
        <f>SUMIF($E$4:$E$128,"510",$J$4:$J$128)</f>
        <v>29000000</v>
      </c>
      <c r="K136" s="128">
        <f>SUMIF($E$4:$E$127,"510",$K$4:$K$127)</f>
        <v>0</v>
      </c>
      <c r="L136" s="127">
        <f>SUMIF($E$4:$E$127,"510",$L$4:$L$127)</f>
        <v>793368554</v>
      </c>
      <c r="M136" s="127">
        <f>SUMIF($E$4:$E$127,"510",$M$4:$M$127)</f>
        <v>14004396</v>
      </c>
      <c r="N136" s="127">
        <f>SUMIF($E$4:$E$127,"510",$N$4:$N$127)</f>
        <v>0</v>
      </c>
      <c r="O136" s="127">
        <f>SUMIF($E$4:$E$127,"510",$O$4:$O$127)</f>
        <v>0</v>
      </c>
      <c r="P136" s="127">
        <f>SUMIF($E$4:$E$127,"510",$P$4:$P$127)</f>
        <v>0</v>
      </c>
      <c r="Q136" s="127">
        <f>SUMIF($E$4:$E$127,"510",$Q$4:$Q$127)</f>
        <v>0</v>
      </c>
      <c r="R136" s="127">
        <f>SUMIF($E$4:$E$127,"510",$R$4:$R$127)</f>
        <v>0</v>
      </c>
      <c r="S136" s="127">
        <f>SUMIF($E$4:$E$127,"510",$S$4:$S$127)</f>
        <v>0</v>
      </c>
      <c r="T136" s="127">
        <f>SUMIF($E$4:$E$127,"510",$T$4:$T$127)</f>
        <v>40431446</v>
      </c>
      <c r="U136" s="127">
        <f>SUMIF($E$4:$E$127,"510",$U$4:$U$127)</f>
        <v>1796640</v>
      </c>
      <c r="V136" s="127">
        <f>SUMIF($E$4:$E$127,"510",$V$4:$V$127)</f>
        <v>0</v>
      </c>
      <c r="W136" s="127">
        <f>SUMIF($E$4:$E$119,"510",$W$4:$W$119)</f>
        <v>0</v>
      </c>
      <c r="X136" s="127"/>
      <c r="Y136" s="127">
        <f>SUMIF($E$4:$E$127,"510",$Y$4:$Y$127)</f>
        <v>0</v>
      </c>
      <c r="Z136" s="127">
        <f>SUMIF($E$4:$E$127,"510",$Z$4:$Z$127)</f>
        <v>0</v>
      </c>
      <c r="AA136" s="127">
        <f>SUMIF($E$4:$E$127,"510",$AA$4:$AA$127)</f>
        <v>92429941</v>
      </c>
      <c r="AC136" s="130">
        <f t="shared" si="168"/>
        <v>0.80964366804129262</v>
      </c>
      <c r="AD136" s="32">
        <f t="shared" si="169"/>
        <v>786189082</v>
      </c>
      <c r="AE136" s="128">
        <f>SUMIF($E$4:$E$127,"510",$AE$4:$AE$127)</f>
        <v>0</v>
      </c>
      <c r="AF136" s="128">
        <f>SUMIF($E$4:$E$127,"510",$AF$4:$AF$127)</f>
        <v>0</v>
      </c>
      <c r="AG136" s="128">
        <f>SUMIF($E$4:$E$127,"510",$AG$4:$AG$127)</f>
        <v>0</v>
      </c>
      <c r="AH136" s="128">
        <f>SUMIF($E$4:$E$127,"510",$AH$4:$AH$127)</f>
        <v>0</v>
      </c>
      <c r="AI136" s="128">
        <f>SUMIF($E$4:$E$127,"510",$AI$4:$AI$127)</f>
        <v>699069074</v>
      </c>
      <c r="AJ136" s="128">
        <f>SUMIF($E$4:$E$127,"510",$AJ$4:$AJ$127)</f>
        <v>14004396</v>
      </c>
      <c r="AK136" s="128">
        <f>SUMIF($E$4:$E$127,"510",$AK$4:$AK$127)</f>
        <v>0</v>
      </c>
      <c r="AL136" s="128">
        <f>SUMIF($E$4:$E$127,"510",$AL$4:$AL$127)</f>
        <v>0</v>
      </c>
      <c r="AM136" s="128">
        <f>SUMIF($E$4:$E$127,"510",$AM$4:$AM$127)</f>
        <v>0</v>
      </c>
      <c r="AN136" s="128">
        <f>SUMIF($E$4:$E$127,"510",$AN$4:$AN$127)</f>
        <v>0</v>
      </c>
      <c r="AO136" s="128">
        <f>SUMIF($E$4:$E$127,"510",$AO$4:$AO$127)</f>
        <v>0</v>
      </c>
      <c r="AP136" s="128">
        <f>SUMIF($E$4:$E$127,"510",$AP$4:$AP$127)</f>
        <v>0</v>
      </c>
      <c r="AQ136" s="128">
        <f>SUMIF($E$4:$E$127,"510",$AQ$4:$AQ$127)</f>
        <v>22867435</v>
      </c>
      <c r="AR136" s="128">
        <f>SUMIF($E$4:$E$127,"510",$AR$4:$AR$127)</f>
        <v>1796640</v>
      </c>
      <c r="AS136" s="128">
        <f>SUMIF($E$4:$E$127,"510",$AS$4:$AS$127)</f>
        <v>0</v>
      </c>
      <c r="AT136" s="128">
        <f>SUMIF($E$4:$E$127,"510",$AT$4:$AT$127)</f>
        <v>0</v>
      </c>
      <c r="AU136" s="128">
        <f>SUMIF($E$4:$E$127,"510",$AU$4:$AU$127)</f>
        <v>0</v>
      </c>
      <c r="AV136" s="128">
        <f>SUMIF($E$4:$E$127,"510",$AV$4:$AV$127)</f>
        <v>0</v>
      </c>
      <c r="AW136" s="128">
        <f>SUMIF($E$4:$E$127," 510",$AW$4:$AW$127)</f>
        <v>0</v>
      </c>
      <c r="AX136" s="128">
        <f>SUMIF($E$4:$E$127,"510",$AX$4:$AX$127)</f>
        <v>48451537</v>
      </c>
      <c r="AY136" s="113">
        <f t="shared" si="170"/>
        <v>0.19035633195870738</v>
      </c>
      <c r="AZ136" s="32">
        <f t="shared" si="171"/>
        <v>184841895</v>
      </c>
      <c r="BA136" s="131">
        <f>SUMIF($E$4:$E$127,"510",$BA$4:$BA$127)</f>
        <v>0</v>
      </c>
      <c r="BB136" s="131">
        <f>SUMIF($E$4:$E$127,"510",$BB$4:$BB$127)</f>
        <v>0</v>
      </c>
      <c r="BC136" s="131">
        <f>SUMIF($E$4:$E$127,"510",$BC$4:$BC$127)</f>
        <v>29000000</v>
      </c>
      <c r="BD136" s="131">
        <f>SUMIF($E$4:$E$127,"510",$BD$4:$BD$127)</f>
        <v>0</v>
      </c>
      <c r="BE136" s="131">
        <f>SUMIF($E$4:$E$127,"510",$BE$4:$BE$127)</f>
        <v>94299480</v>
      </c>
      <c r="BF136" s="131">
        <f>SUMIF($E$4:$E$127,"510",$BF$4:$BF$127)</f>
        <v>0</v>
      </c>
      <c r="BG136" s="131">
        <f>SUMIF($E$4:$E$127,"510",$BG$4:$BG$127)</f>
        <v>0</v>
      </c>
      <c r="BH136" s="131">
        <f>SUMIF($E$4:$E$127,"510",$BH$4:$BH$127)</f>
        <v>0</v>
      </c>
      <c r="BI136" s="131">
        <f>SUMIF($E$4:$E$127,"510",$BI$4:$BI$127)</f>
        <v>0</v>
      </c>
      <c r="BJ136" s="131">
        <f>SUMIF($E$4:$E$127,"510",$BJ$4:$BJ$127)</f>
        <v>0</v>
      </c>
      <c r="BK136" s="131">
        <f>SUMIF($E$4:$E$127,"510",$BK$4:$BK$127)</f>
        <v>0</v>
      </c>
      <c r="BL136" s="131">
        <f>SUMIF($E$4:$E$127,"510",$BL$4:$BL$127)</f>
        <v>0</v>
      </c>
      <c r="BM136" s="131">
        <f>SUMIF($E$4:$E$127,"510",$BM$4:$BM$127)</f>
        <v>17564011</v>
      </c>
      <c r="BN136" s="131">
        <f>SUMIF($E$4:$E$127,"510",$BN$4:$BN$127)</f>
        <v>0</v>
      </c>
      <c r="BO136" s="131">
        <f>SUMIF($E$4:$E$127,"510",$BO$4:$BO$127)</f>
        <v>0</v>
      </c>
      <c r="BP136" s="131">
        <f>SUMIF($E$4:$E$127,"520",$BP$4:$BP$127)</f>
        <v>0</v>
      </c>
      <c r="BQ136" s="131"/>
      <c r="BR136" s="131">
        <f>SUMIF($E$4:$E$127,"510",$BR$4:$BR$127)</f>
        <v>0</v>
      </c>
      <c r="BS136" s="131">
        <f>SUMIF($E$4:$E$127,"510",$BS$4:$BS$127)</f>
        <v>0</v>
      </c>
      <c r="BT136" s="132">
        <f>SUMIF($E$4:$E$127,"510",$BT$4:$BT$127)</f>
        <v>43978404</v>
      </c>
      <c r="BU136" s="133">
        <f t="shared" si="172"/>
        <v>0.67081494867696689</v>
      </c>
      <c r="BV136" s="32">
        <f t="shared" si="173"/>
        <v>651382095</v>
      </c>
      <c r="BW136" s="128">
        <f>SUMIF($E$4:$E$127,"510",$BW$4:$BW$127)</f>
        <v>0</v>
      </c>
      <c r="BX136" s="128">
        <f>SUMIF($E$4:$E$127,"510",$BX$4:$BX$127)</f>
        <v>0</v>
      </c>
      <c r="BY136" s="128">
        <f>SUMIF($E$4:$E$127,"510",$BY$4:$BY$127)</f>
        <v>0</v>
      </c>
      <c r="BZ136" s="128">
        <f>SUMIF($E$4:$E$127,"510",$BZ$4:$BZ$127)</f>
        <v>0</v>
      </c>
      <c r="CA136" s="128">
        <f>SUMIF($E$4:$E$127,"510",$CA$4:$CA$127)</f>
        <v>565824023</v>
      </c>
      <c r="CB136" s="128">
        <f>SUMIF($E$4:$E$127,"510",$CB$4:$CB$127)</f>
        <v>14004396</v>
      </c>
      <c r="CC136" s="128">
        <f>SUMIF($E$4:$E$127,"510",$CC$4:$CC$127)</f>
        <v>0</v>
      </c>
      <c r="CD136" s="128">
        <f>SUMIF($E$4:$E$127,"510",$CD$4:$CD$127)</f>
        <v>0</v>
      </c>
      <c r="CE136" s="128">
        <f>SUMIF($E$4:$E$127,"510",$CE$4:$CE$127)</f>
        <v>0</v>
      </c>
      <c r="CF136" s="128">
        <f>SUMIF($E$4:$E$127,"510",$CF$4:$CF$127)</f>
        <v>0</v>
      </c>
      <c r="CG136" s="128">
        <f>SUMIF($E$4:$E$127,"510",$CG$4:$CG$127)</f>
        <v>0</v>
      </c>
      <c r="CH136" s="128">
        <f>SUMIF($E$4:$E$127,"510",$CH$4:$CH$127)</f>
        <v>0</v>
      </c>
      <c r="CI136" s="128">
        <f>SUMIF($E$4:$E$127,"510",$CI$4:$CI$127)</f>
        <v>22856903</v>
      </c>
      <c r="CJ136" s="128">
        <f>SUMIF($E$4:$E$127,"510",$CJ$4:$CJ$127)</f>
        <v>1796640</v>
      </c>
      <c r="CK136" s="128">
        <f>SUMIF($E$4:$E$127,"510",$CK$4:$CK$127)</f>
        <v>0</v>
      </c>
      <c r="CL136" s="128">
        <f>SUMIF($E$4:$E$127,"510",$CL$4:$CL$127)</f>
        <v>0</v>
      </c>
      <c r="CM136" s="128">
        <f>SUMIF($E$4:$E$127,"111",$CM$4:$CM$127)</f>
        <v>0</v>
      </c>
      <c r="CN136" s="128">
        <f>SUMIF($E$4:$E$127,"510",$CN$4:$CN$127)</f>
        <v>0</v>
      </c>
      <c r="CO136" s="128">
        <f>SUMIF($E$4:$E$127,"510",$CO$4:$CO$127)</f>
        <v>0</v>
      </c>
      <c r="CP136" s="134">
        <f>SUMIF($E$4:$E$127,"510",$CP$4:$CP$127)</f>
        <v>46900133</v>
      </c>
      <c r="CQ136" s="29">
        <f t="shared" si="174"/>
        <v>0.32918505132303311</v>
      </c>
      <c r="CR136" s="32">
        <f t="shared" si="175"/>
        <v>319648882</v>
      </c>
      <c r="CS136" s="131">
        <f>SUMIF($E$4:$E$127,"510",$CS$4:$CS$127)</f>
        <v>0</v>
      </c>
      <c r="CT136" s="131">
        <f>SUMIF($E$4:$E$127,"510",$CT$4:$CT$127)</f>
        <v>0</v>
      </c>
      <c r="CU136" s="131">
        <f>SUMIF($E$4:$E$127,"510",$CU$4:$CU$127)</f>
        <v>29000000</v>
      </c>
      <c r="CV136" s="131">
        <f>SUMIF($E$4:$E$127,"510",$CV$4:$CV$127)</f>
        <v>0</v>
      </c>
      <c r="CW136" s="131">
        <f>SUMIF($E$4:$E$127,"510",$CW$4:$CW$127)</f>
        <v>227544531</v>
      </c>
      <c r="CX136" s="131">
        <f>SUMIF($E$4:$E$127,"510",$CX$4:$CX$127)</f>
        <v>0</v>
      </c>
      <c r="CY136" s="131">
        <f>SUMIF($E$4:$E$127,"510",$CY$4:$CY$127)</f>
        <v>0</v>
      </c>
      <c r="CZ136" s="135">
        <f>SUMIF($E$4:$E$127,"510",$CZ$4:$CZ$127)</f>
        <v>0</v>
      </c>
      <c r="DA136" s="135">
        <f>SUMIF($E$4:$E$127,"510",$DA$4:$DA$127)</f>
        <v>0</v>
      </c>
      <c r="DB136" s="135">
        <f>SUMIF($E$4:$E$127,"510",$DB$4:$DB$127)</f>
        <v>0</v>
      </c>
      <c r="DC136" s="135">
        <f>SUMIF($E$4:$E$127,"510",$DC$4:$DC$127)</f>
        <v>0</v>
      </c>
      <c r="DD136" s="135">
        <f>SUMIF($E$4:$E$127,"510",$DD$4:$DD$127)</f>
        <v>0</v>
      </c>
      <c r="DE136" s="135">
        <f>SUMIF($E$4:$E$127,"510",$DE$4:$DE$127)</f>
        <v>17574543</v>
      </c>
      <c r="DF136" s="135">
        <f>SUMIF($E$4:$E$127,"510",$DF$4:$DF$127)</f>
        <v>0</v>
      </c>
      <c r="DG136" s="135">
        <f>SUMIF($E$4:$E$127,"510",$DG$4:$DG$127)</f>
        <v>0</v>
      </c>
      <c r="DH136" s="135">
        <f>SUMIF($E$4:$E$127,"510",$DH$4:$DH$127)</f>
        <v>0</v>
      </c>
      <c r="DI136" s="135">
        <f>SUMIF($E$4:$E$127,"510",$DI$4:$DI$127)</f>
        <v>0</v>
      </c>
      <c r="DJ136" s="135">
        <f>SUMIF($E$4:$E$127,"510",$DJ$4:$DJ$127)</f>
        <v>0</v>
      </c>
      <c r="DK136" s="135">
        <f>SUMIF($E$4:$E$127,"510",$DK$4:$DK$127)</f>
        <v>0</v>
      </c>
      <c r="DL136" s="135">
        <f>SUMIF($E$4:$E$127,"510",$DL$4:$DL$127)</f>
        <v>45529808</v>
      </c>
    </row>
    <row r="137" spans="3:116" x14ac:dyDescent="0.25">
      <c r="C137" s="137"/>
      <c r="D137" s="126" t="s">
        <v>361</v>
      </c>
      <c r="E137" s="119">
        <v>520</v>
      </c>
      <c r="F137" s="127"/>
      <c r="G137" s="128">
        <f>SUMIF($E$4:$E$127,"520",$G$4:$G$127)</f>
        <v>1600540286</v>
      </c>
      <c r="H137" s="128">
        <f>SUMIF($E$4:$E$127,"520",$H$4:$H$127)</f>
        <v>0</v>
      </c>
      <c r="I137" s="129">
        <f>SUMIF($E$4:$E$127,"520",$I$4:$I$127)</f>
        <v>0</v>
      </c>
      <c r="J137" s="129">
        <f>SUMIF($E$4:$E$127,"520",$J$4:$J$127)</f>
        <v>0</v>
      </c>
      <c r="K137" s="128">
        <f>SUMIF($E$4:$E$127,"520",$K$4:$K$127)</f>
        <v>0</v>
      </c>
      <c r="L137" s="127">
        <f>SUMIF($E$4:$E$127,"520",$L$4:$L$127)</f>
        <v>520000000</v>
      </c>
      <c r="M137" s="127">
        <f>SUMIF($E$4:$E$127,"520",$M$4:$M$127)</f>
        <v>50000000</v>
      </c>
      <c r="N137" s="127">
        <f>SUMIF($E$4:$E$127,"520",$N$4:$N$127)</f>
        <v>0</v>
      </c>
      <c r="O137" s="127">
        <f>SUMIF($E$4:$E$127,"520",$O$4:$O$127)</f>
        <v>0</v>
      </c>
      <c r="P137" s="127">
        <f>SUMIF($E$4:$E$127,"520",$P$4:$P$127)</f>
        <v>0</v>
      </c>
      <c r="Q137" s="127">
        <f>SUMIF($E$4:$E$127,"520",$Q$4:$Q$127)</f>
        <v>0</v>
      </c>
      <c r="R137" s="127">
        <f>SUMIF($E$4:$E$127,"520",$R$4:$R$127)</f>
        <v>0</v>
      </c>
      <c r="S137" s="127">
        <f>SUMIF($E$4:$E$127,"520",$S$4:$S$127)</f>
        <v>200000000</v>
      </c>
      <c r="T137" s="127">
        <f>SUMIF($E$4:$E$127,"520",$T$4:$T$127)</f>
        <v>333901442</v>
      </c>
      <c r="U137" s="127">
        <f>SUMIF($E$4:$E$127,"520",$U$4:$U$127)</f>
        <v>0</v>
      </c>
      <c r="V137" s="127">
        <f>SUMIF($E$4:$E$127,"520",$V$4:$V$127)</f>
        <v>0</v>
      </c>
      <c r="W137" s="127">
        <f>SUMIF($E$4:$E$119,"520",$W$4:$W$119)</f>
        <v>0</v>
      </c>
      <c r="X137" s="127"/>
      <c r="Y137" s="127">
        <f>SUMIF($E$4:$E$127,"520",$Y$4:$Y$127)</f>
        <v>0</v>
      </c>
      <c r="Z137" s="127">
        <f>SUMIF($E$4:$E$127,"520",$Z$4:$Z$127)</f>
        <v>0</v>
      </c>
      <c r="AA137" s="127">
        <f>SUMIF($E$4:$E$127,"520",$AA$4:$AA$127)</f>
        <v>496638844</v>
      </c>
      <c r="AC137" s="130">
        <f t="shared" si="168"/>
        <v>0.73839405626807197</v>
      </c>
      <c r="AD137" s="32">
        <f t="shared" si="169"/>
        <v>1181829434</v>
      </c>
      <c r="AE137" s="128">
        <f>SUMIF($E$4:$E$127,"520",$AE$4:$AE$127)</f>
        <v>0</v>
      </c>
      <c r="AF137" s="128">
        <f>SUMIF($E$4:$E$127,"520",$AF$4:$AF$127)</f>
        <v>0</v>
      </c>
      <c r="AG137" s="128">
        <f>SUMIF($E$4:$E$127,"520",$AG$4:$AG$127)</f>
        <v>0</v>
      </c>
      <c r="AH137" s="128">
        <f>SUMIF($E$4:$E$127,"520",$AH$4:$AH$127)</f>
        <v>0</v>
      </c>
      <c r="AI137" s="128">
        <f>SUMIF($E$4:$E$127,"520",$AI$4:$AI$127)</f>
        <v>282138473</v>
      </c>
      <c r="AJ137" s="128">
        <f>SUMIF($E$4:$E$127,"520",$AJ$4:$AJ$127)</f>
        <v>24212635</v>
      </c>
      <c r="AK137" s="128">
        <f>SUMIF($E$4:$E$127,"520",$AK$4:$AK$127)</f>
        <v>0</v>
      </c>
      <c r="AL137" s="128">
        <f>SUMIF($E$4:$E$127,"520",$AL$4:$AL$127)</f>
        <v>0</v>
      </c>
      <c r="AM137" s="128">
        <f>SUMIF($E$4:$E$127,"520",$AM$4:$AM$127)</f>
        <v>0</v>
      </c>
      <c r="AN137" s="128">
        <f>SUMIF($E$4:$E$127,"520",$AN$4:$AN$127)</f>
        <v>0</v>
      </c>
      <c r="AO137" s="128">
        <f>SUMIF($E$4:$E$127,"520",$AO$4:$AO$127)</f>
        <v>0</v>
      </c>
      <c r="AP137" s="128">
        <f>SUMIF($E$4:$E$127,"520",$AP$4:$AP$127)</f>
        <v>196388655</v>
      </c>
      <c r="AQ137" s="128">
        <f>SUMIF($E$4:$E$127,"520",$AQ$4:$AQ$127)</f>
        <v>286026149</v>
      </c>
      <c r="AR137" s="128">
        <f>SUMIF($E$4:$E$127,"520",$AR$4:$AR$127)</f>
        <v>0</v>
      </c>
      <c r="AS137" s="128">
        <f>SUMIF($E$4:$E$127,"520",$AS$4:$AS$127)</f>
        <v>0</v>
      </c>
      <c r="AT137" s="128">
        <f>SUMIF($E$4:$E$127,"520",$AT$4:$AT$127)</f>
        <v>0</v>
      </c>
      <c r="AU137" s="128">
        <f>SUMIF($E$4:$E$127,"520",$AU$4:$AU$127)</f>
        <v>0</v>
      </c>
      <c r="AV137" s="128">
        <f>SUMIF($E$4:$E$127,"520",$AV$4:$AV$127)</f>
        <v>0</v>
      </c>
      <c r="AW137" s="128">
        <f>SUMIF($E$4:$E$127,"520",$AW$4:$AW$127)</f>
        <v>0</v>
      </c>
      <c r="AX137" s="128">
        <f>SUMIF($E$4:$E$127,"520",$AX$4:$AX$127)</f>
        <v>393063522</v>
      </c>
      <c r="AY137" s="113">
        <f t="shared" si="170"/>
        <v>0.26160594373192803</v>
      </c>
      <c r="AZ137" s="32">
        <f t="shared" si="171"/>
        <v>418710852</v>
      </c>
      <c r="BA137" s="131">
        <f>SUMIF($E$4:$E$127,"520",$BA$4:$BA$127)</f>
        <v>0</v>
      </c>
      <c r="BB137" s="131">
        <f>SUMIF($E$4:$E$127,"520",$BB$4:$BB$127)</f>
        <v>0</v>
      </c>
      <c r="BC137" s="131">
        <f>SUMIF($E$4:$E$127,"520",$BC$4:$BC$127)</f>
        <v>0</v>
      </c>
      <c r="BD137" s="131">
        <f>SUMIF($E$4:$E$127,"520",$BD$4:$BD$127)</f>
        <v>0</v>
      </c>
      <c r="BE137" s="131">
        <f>SUMIF($E$4:$E$127,"520",$BE$4:$BE$127)</f>
        <v>237861527</v>
      </c>
      <c r="BF137" s="131">
        <f>SUMIF($E$4:$E$127,"520",$BF$4:$BF$127)</f>
        <v>25787365</v>
      </c>
      <c r="BG137" s="131">
        <f>SUMIF($E$4:$E$127,"520",$BG$4:$BG$127)</f>
        <v>0</v>
      </c>
      <c r="BH137" s="131">
        <f>SUMIF($E$4:$E$127,"520",$BH$4:$BH$127)</f>
        <v>0</v>
      </c>
      <c r="BI137" s="131">
        <f>SUMIF($E$4:$E$127,"520",$BI$4:$BI$127)</f>
        <v>0</v>
      </c>
      <c r="BJ137" s="131">
        <f>SUMIF($E$4:$E$127,"520",$BJ$4:$BJ$127)</f>
        <v>0</v>
      </c>
      <c r="BK137" s="131">
        <f>SUMIF($E$4:$E$127,"520",$BK$4:$BK$127)</f>
        <v>0</v>
      </c>
      <c r="BL137" s="131">
        <f>SUMIF($E$4:$E$127,"520",$BL$4:$BL$127)</f>
        <v>3611345</v>
      </c>
      <c r="BM137" s="131">
        <f>SUMIF($E$4:$E$127,"520",$BM$4:$BM$127)</f>
        <v>47875293</v>
      </c>
      <c r="BN137" s="131">
        <f>SUMIF($E$4:$E$127,"520",$BN$4:$BN$127)</f>
        <v>0</v>
      </c>
      <c r="BO137" s="131">
        <f>SUMIF($E$4:$E$127,"520",$BO$4:$BO$127)</f>
        <v>0</v>
      </c>
      <c r="BP137" s="131">
        <f>SUMIF($E$4:$E$127,"111",$BP$4:$BP$127)</f>
        <v>0</v>
      </c>
      <c r="BQ137" s="131"/>
      <c r="BR137" s="131">
        <f>SUMIF($E$4:$E$127,"520",$BR$4:$BR$127)</f>
        <v>0</v>
      </c>
      <c r="BS137" s="131">
        <f>SUMIF($E$4:$E$127,"520",$BS$4:$BS$127)</f>
        <v>0</v>
      </c>
      <c r="BT137" s="132">
        <f>SUMIF($E$4:$E$127,"520",$BT$4:$BT$127)</f>
        <v>103575322</v>
      </c>
      <c r="BU137" s="133">
        <f t="shared" si="172"/>
        <v>0.5763361916402272</v>
      </c>
      <c r="BV137" s="32">
        <f t="shared" si="173"/>
        <v>922449293</v>
      </c>
      <c r="BW137" s="128">
        <f>SUMIF($E$4:$E$127,"520",$BW$4:$BW$127)</f>
        <v>0</v>
      </c>
      <c r="BX137" s="128">
        <f>SUMIF($E$4:$E$127,"520",$BX$4:$BX$127)</f>
        <v>0</v>
      </c>
      <c r="BY137" s="128">
        <f>SUMIF($E$4:$E$127,"520",$BY$4:$BY$127)</f>
        <v>0</v>
      </c>
      <c r="BZ137" s="128">
        <f>SUMIF($E$4:$E$127,"520",$BZ$4:$BZ$127)</f>
        <v>0</v>
      </c>
      <c r="CA137" s="128">
        <f>SUMIF($E$4:$E$127,"520",$CA$4:$CA$127)</f>
        <v>222563715</v>
      </c>
      <c r="CB137" s="128">
        <f>SUMIF($E$4:$E$127,"520",$CB$4:$CB$127)</f>
        <v>24212635</v>
      </c>
      <c r="CC137" s="128">
        <f>SUMIF($E$4:$E$127,"520",$CC$4:$CC$127)</f>
        <v>0</v>
      </c>
      <c r="CD137" s="128">
        <f>SUMIF($E$4:$E$127,"520",$CD$4:$CD$127)</f>
        <v>0</v>
      </c>
      <c r="CE137" s="128">
        <f>SUMIF($E$4:$E$127,"520",$CE$4:$CE$127)</f>
        <v>0</v>
      </c>
      <c r="CF137" s="128">
        <f>SUMIF($E$4:$E$127,"520",$CF$4:$CF$127)</f>
        <v>0</v>
      </c>
      <c r="CG137" s="128">
        <f>SUMIF($E$4:$E$127,"520",$CG$4:$CG$127)</f>
        <v>0</v>
      </c>
      <c r="CH137" s="128">
        <f>SUMIF($E$4:$E$127,"520",$CH$4:$CH$127)</f>
        <v>162882922</v>
      </c>
      <c r="CI137" s="128">
        <f>SUMIF($E$4:$E$127,"520",$CI$4:$CI$127)</f>
        <v>232521071</v>
      </c>
      <c r="CJ137" s="128">
        <f>SUMIF($E$4:$E$127,"520",$CJ$4:$CJ$127)</f>
        <v>0</v>
      </c>
      <c r="CK137" s="128">
        <f>SUMIF($E$4:$E$127,"520",$CK$4:$CK$127)</f>
        <v>0</v>
      </c>
      <c r="CL137" s="128">
        <f>SUMIF($E$4:$E$127,"520",$CL$4:$CL$127)</f>
        <v>0</v>
      </c>
      <c r="CM137" s="128">
        <f>SUMIF($E$4:$E$127,"111",$CM$4:$CM$127)</f>
        <v>0</v>
      </c>
      <c r="CN137" s="128">
        <f>SUMIF($E$4:$E$127,"520",$CN$4:$CN$127)</f>
        <v>0</v>
      </c>
      <c r="CO137" s="128">
        <f>SUMIF($E$4:$E$127,"520",$CO$4:$CO$127)</f>
        <v>0</v>
      </c>
      <c r="CP137" s="134">
        <f>SUMIF($E$4:$E$127,"520",$CP$4:$CP$127)</f>
        <v>280268950</v>
      </c>
      <c r="CQ137" s="29">
        <f t="shared" si="174"/>
        <v>0.4236638083597728</v>
      </c>
      <c r="CR137" s="32">
        <f t="shared" si="175"/>
        <v>678090993</v>
      </c>
      <c r="CS137" s="131">
        <f>SUMIF($E$4:$E$127,"520",$CS$4:$CS$127)</f>
        <v>0</v>
      </c>
      <c r="CT137" s="131">
        <f>SUMIF($E$4:$E$127,"520",$CT$4:$CT$127)</f>
        <v>0</v>
      </c>
      <c r="CU137" s="131">
        <f>SUMIF($E$4:$E$127,"520",$CU$4:$CU$127)</f>
        <v>0</v>
      </c>
      <c r="CV137" s="131">
        <f>SUMIF($E$4:$E$127,"520",$CV$4:$CV$127)</f>
        <v>0</v>
      </c>
      <c r="CW137" s="131">
        <f>SUMIF($E$4:$E$127,"520",$CW$4:$CW$127)</f>
        <v>297436285</v>
      </c>
      <c r="CX137" s="131">
        <f>SUMIF($E$4:$E$127,"520",$CX$4:$CX$127)</f>
        <v>25787365</v>
      </c>
      <c r="CY137" s="131">
        <f>SUMIF($E$4:$E$127,"520",$CY$4:$CY$127)</f>
        <v>0</v>
      </c>
      <c r="CZ137" s="135">
        <f>SUMIF($E$4:$E$127,"520",$CZ$4:$CZ$127)</f>
        <v>0</v>
      </c>
      <c r="DA137" s="135">
        <f>SUMIF($E$4:$E$127,"520",$DA$4:$DA$127)</f>
        <v>0</v>
      </c>
      <c r="DB137" s="135">
        <f>SUMIF($E$4:$E$127,"520",$DB$4:$DB$127)</f>
        <v>0</v>
      </c>
      <c r="DC137" s="135">
        <f>SUMIF($E$4:$E$127,"520",$DC$4:$DC$127)</f>
        <v>0</v>
      </c>
      <c r="DD137" s="135">
        <f>SUMIF($E$4:$E$127,"520",$DD$4:$DD$127)</f>
        <v>37117078</v>
      </c>
      <c r="DE137" s="135">
        <f>SUMIF($E$4:$E$127,"520",$DE$4:$DE$127)</f>
        <v>101380371</v>
      </c>
      <c r="DF137" s="135">
        <f>SUMIF($E$4:$E$127,"520",$DF$4:$DF$127)</f>
        <v>0</v>
      </c>
      <c r="DG137" s="135">
        <f>SUMIF($E$4:$E$127,"520",$DG$4:$DG$127)</f>
        <v>0</v>
      </c>
      <c r="DH137" s="135">
        <f>SUMIF($E$4:$E$127,"520",$DH$4:$DH$127)</f>
        <v>0</v>
      </c>
      <c r="DI137" s="135">
        <f>SUMIF($E$4:$E$127,"520",$DI$4:$DI$127)</f>
        <v>0</v>
      </c>
      <c r="DJ137" s="135">
        <f>SUMIF($E$4:$E$127,"520",$DJ$4:$DJ$127)</f>
        <v>0</v>
      </c>
      <c r="DK137" s="135">
        <f>SUMIF($E$4:$E$127,"520",$DK$4:$DK$127)</f>
        <v>0</v>
      </c>
      <c r="DL137" s="135">
        <f>SUMIF($E$4:$E$127,"520",$DL$4:$DL$127)</f>
        <v>216369894</v>
      </c>
    </row>
    <row r="138" spans="3:116" x14ac:dyDescent="0.25">
      <c r="C138" s="137"/>
      <c r="D138" s="126" t="s">
        <v>362</v>
      </c>
      <c r="E138" s="119" t="s">
        <v>334</v>
      </c>
      <c r="F138" s="127"/>
      <c r="G138" s="128">
        <f>SUMIF($E$4:$E$127,"520-2",$G$4:$G$127)</f>
        <v>3185000000</v>
      </c>
      <c r="H138" s="128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7">
        <f>SUMIF($E$4:$E$127,"520-2",$U$4:$U$127)</f>
        <v>485000000</v>
      </c>
      <c r="V138" s="129"/>
      <c r="W138" s="129"/>
      <c r="X138" s="129"/>
      <c r="Y138" s="127">
        <f>SUMIF($E$4:$E$127,"520-2",$Y$4:$Y$127)</f>
        <v>2700000000</v>
      </c>
      <c r="Z138" s="129"/>
      <c r="AA138" s="127">
        <f>SUMIF($E$4:$E$127,"520-2",$AA$4:$AA$127)</f>
        <v>0</v>
      </c>
      <c r="AC138" s="130">
        <f t="shared" si="168"/>
        <v>1</v>
      </c>
      <c r="AD138" s="32">
        <f t="shared" si="169"/>
        <v>3185000000</v>
      </c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>
        <f>SUMIF($E$4:$E$127,"520-2",$AR$4:$AR$127)</f>
        <v>485000000</v>
      </c>
      <c r="AS138" s="128"/>
      <c r="AT138" s="128"/>
      <c r="AU138" s="128">
        <f>SUMIF($E$4:$E$127,"520-2",$AU$4:$AU$127)</f>
        <v>0</v>
      </c>
      <c r="AV138" s="128">
        <f>SUMIF($E$4:$E$127,"520-2",$AV$4:$AV$127)</f>
        <v>2700000000</v>
      </c>
      <c r="AW138" s="128"/>
      <c r="AX138" s="128"/>
      <c r="AY138" s="113">
        <f t="shared" si="170"/>
        <v>0</v>
      </c>
      <c r="AZ138" s="32">
        <f t="shared" si="171"/>
        <v>0</v>
      </c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>
        <f>SUMIF($E$4:$E$127,"520-2",$BN$4:$BN$127)</f>
        <v>0</v>
      </c>
      <c r="BO138" s="131"/>
      <c r="BP138" s="131"/>
      <c r="BQ138" s="131"/>
      <c r="BR138" s="131">
        <f>SUMIF($E$4:$E$127,"520-2",$BR$4:$BR$127)</f>
        <v>0</v>
      </c>
      <c r="BS138" s="131"/>
      <c r="BT138" s="132"/>
      <c r="BU138" s="133">
        <f t="shared" si="172"/>
        <v>0.25496371679748825</v>
      </c>
      <c r="BV138" s="32">
        <f>SUM(BW138:CP138)</f>
        <v>812059438</v>
      </c>
      <c r="BW138" s="134"/>
      <c r="BX138" s="134"/>
      <c r="BY138" s="134"/>
      <c r="BZ138" s="134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>
        <f>SUMIF($E$4:$E$127,"520-2",$CJ$4:$CJ$127)</f>
        <v>359172189</v>
      </c>
      <c r="CK138" s="128"/>
      <c r="CL138" s="128"/>
      <c r="CM138" s="128">
        <f>SUMIF($E$4:$E$127,"111",$CM$4:$CM$127)</f>
        <v>0</v>
      </c>
      <c r="CN138" s="128">
        <f>SUMIF($E$4:$E$127,"520-2",$CN$4:$CN$127)</f>
        <v>452887249</v>
      </c>
      <c r="CO138" s="128"/>
      <c r="CP138" s="134"/>
      <c r="CQ138" s="29">
        <f t="shared" si="174"/>
        <v>0.7450362832025117</v>
      </c>
      <c r="CR138" s="32">
        <f t="shared" si="175"/>
        <v>2372940562</v>
      </c>
      <c r="CS138" s="132"/>
      <c r="CT138" s="132"/>
      <c r="CU138" s="132"/>
      <c r="CV138" s="132"/>
      <c r="CW138" s="131"/>
      <c r="CX138" s="131"/>
      <c r="CY138" s="131"/>
      <c r="CZ138" s="135"/>
      <c r="DA138" s="135"/>
      <c r="DB138" s="135"/>
      <c r="DC138" s="135"/>
      <c r="DD138" s="135"/>
      <c r="DE138" s="135"/>
      <c r="DF138" s="135">
        <f>SUMIF($E$4:$E$127,"520-2",$DF$4:$DF$127)</f>
        <v>125827811</v>
      </c>
      <c r="DG138" s="135"/>
      <c r="DH138" s="135"/>
      <c r="DI138" s="135">
        <f>SUMIF($E$4:$E$127,"520-2",$DI$4:$DI$127)</f>
        <v>0</v>
      </c>
      <c r="DJ138" s="135">
        <f>SUMIF($E$4:$E$127,"520-2",$DJ$4:$DJ$127)</f>
        <v>2247112751</v>
      </c>
      <c r="DK138" s="135"/>
      <c r="DL138" s="135"/>
    </row>
    <row r="139" spans="3:116" x14ac:dyDescent="0.25">
      <c r="C139" s="137"/>
      <c r="D139" s="126" t="s">
        <v>363</v>
      </c>
      <c r="E139" s="1"/>
      <c r="F139" s="139"/>
      <c r="G139" s="140">
        <f t="shared" ref="G139:AA139" si="176">SUM(G132:G138)</f>
        <v>19479225964</v>
      </c>
      <c r="H139" s="140">
        <f t="shared" si="176"/>
        <v>0</v>
      </c>
      <c r="I139" s="140">
        <f t="shared" si="176"/>
        <v>0</v>
      </c>
      <c r="J139" s="140">
        <f t="shared" si="176"/>
        <v>8458835637</v>
      </c>
      <c r="K139" s="140">
        <f t="shared" si="176"/>
        <v>171003327</v>
      </c>
      <c r="L139" s="140">
        <f t="shared" si="176"/>
        <v>1899736650</v>
      </c>
      <c r="M139" s="140">
        <f t="shared" si="176"/>
        <v>138372986</v>
      </c>
      <c r="N139" s="140">
        <f t="shared" si="176"/>
        <v>54387</v>
      </c>
      <c r="O139" s="140">
        <f t="shared" si="176"/>
        <v>30665828</v>
      </c>
      <c r="P139" s="140">
        <f t="shared" si="176"/>
        <v>1940856</v>
      </c>
      <c r="Q139" s="140">
        <f t="shared" si="176"/>
        <v>3438802</v>
      </c>
      <c r="R139" s="140">
        <f t="shared" si="176"/>
        <v>345941457</v>
      </c>
      <c r="S139" s="140">
        <f t="shared" si="176"/>
        <v>1544000000</v>
      </c>
      <c r="T139" s="140">
        <f t="shared" si="176"/>
        <v>1142029623</v>
      </c>
      <c r="U139" s="140">
        <f t="shared" si="176"/>
        <v>486796640</v>
      </c>
      <c r="V139" s="140">
        <f t="shared" si="176"/>
        <v>1054833768</v>
      </c>
      <c r="W139" s="140">
        <f t="shared" si="176"/>
        <v>0</v>
      </c>
      <c r="X139" s="140">
        <f t="shared" si="176"/>
        <v>11169156</v>
      </c>
      <c r="Y139" s="140">
        <f t="shared" si="176"/>
        <v>2700000000</v>
      </c>
      <c r="Z139" s="140">
        <f t="shared" si="176"/>
        <v>204741836</v>
      </c>
      <c r="AA139" s="140">
        <f t="shared" si="176"/>
        <v>1285665011</v>
      </c>
      <c r="AB139" s="141">
        <f>SUM(AB132:AB137)</f>
        <v>0</v>
      </c>
      <c r="AC139" s="130">
        <f t="shared" si="168"/>
        <v>0.65833612073190695</v>
      </c>
      <c r="AD139" s="140">
        <f t="shared" ref="AD139:AX139" si="177">SUM(AD132:AD138)</f>
        <v>12823878056</v>
      </c>
      <c r="AE139" s="140">
        <f t="shared" si="177"/>
        <v>0</v>
      </c>
      <c r="AF139" s="140">
        <f t="shared" si="177"/>
        <v>0</v>
      </c>
      <c r="AG139" s="140">
        <f t="shared" si="177"/>
        <v>4374004955</v>
      </c>
      <c r="AH139" s="140">
        <f t="shared" si="177"/>
        <v>52220600</v>
      </c>
      <c r="AI139" s="140">
        <f t="shared" si="177"/>
        <v>1404490793</v>
      </c>
      <c r="AJ139" s="140">
        <f t="shared" si="177"/>
        <v>38217031</v>
      </c>
      <c r="AK139" s="140">
        <f t="shared" si="177"/>
        <v>0</v>
      </c>
      <c r="AL139" s="140">
        <f t="shared" si="177"/>
        <v>0</v>
      </c>
      <c r="AM139" s="140">
        <f t="shared" si="177"/>
        <v>0</v>
      </c>
      <c r="AN139" s="140">
        <f t="shared" si="177"/>
        <v>0</v>
      </c>
      <c r="AO139" s="140">
        <f t="shared" si="177"/>
        <v>164856575</v>
      </c>
      <c r="AP139" s="140">
        <f t="shared" si="177"/>
        <v>1496388655</v>
      </c>
      <c r="AQ139" s="140">
        <f t="shared" si="177"/>
        <v>775628761</v>
      </c>
      <c r="AR139" s="140">
        <f t="shared" si="177"/>
        <v>486796640</v>
      </c>
      <c r="AS139" s="140">
        <f t="shared" si="177"/>
        <v>747530233</v>
      </c>
      <c r="AT139" s="140">
        <f t="shared" si="177"/>
        <v>0</v>
      </c>
      <c r="AU139" s="140">
        <f t="shared" si="177"/>
        <v>0</v>
      </c>
      <c r="AV139" s="140">
        <f t="shared" si="177"/>
        <v>2700000000</v>
      </c>
      <c r="AW139" s="140">
        <f t="shared" si="177"/>
        <v>23350298</v>
      </c>
      <c r="AX139" s="140">
        <f t="shared" si="177"/>
        <v>560393515</v>
      </c>
      <c r="AY139" s="113">
        <f t="shared" si="170"/>
        <v>0.34166387926809305</v>
      </c>
      <c r="AZ139" s="142">
        <f t="shared" ref="AZ139:BT139" si="178">SUM(AZ132:AZ138)</f>
        <v>6655347908</v>
      </c>
      <c r="BA139" s="142">
        <f t="shared" si="178"/>
        <v>0</v>
      </c>
      <c r="BB139" s="142">
        <f t="shared" si="178"/>
        <v>0</v>
      </c>
      <c r="BC139" s="142">
        <f t="shared" si="178"/>
        <v>4084830682</v>
      </c>
      <c r="BD139" s="142">
        <f t="shared" si="178"/>
        <v>118782727</v>
      </c>
      <c r="BE139" s="142">
        <f t="shared" si="178"/>
        <v>495245857</v>
      </c>
      <c r="BF139" s="142">
        <f t="shared" si="178"/>
        <v>100155955</v>
      </c>
      <c r="BG139" s="142">
        <f t="shared" si="178"/>
        <v>54387</v>
      </c>
      <c r="BH139" s="142">
        <f t="shared" si="178"/>
        <v>30665828</v>
      </c>
      <c r="BI139" s="142">
        <f t="shared" si="178"/>
        <v>1940856</v>
      </c>
      <c r="BJ139" s="142">
        <f t="shared" si="178"/>
        <v>3438802</v>
      </c>
      <c r="BK139" s="142">
        <f t="shared" si="178"/>
        <v>181084882</v>
      </c>
      <c r="BL139" s="142">
        <f t="shared" si="178"/>
        <v>47611345</v>
      </c>
      <c r="BM139" s="142">
        <f t="shared" si="178"/>
        <v>366400862</v>
      </c>
      <c r="BN139" s="142">
        <f t="shared" si="178"/>
        <v>0</v>
      </c>
      <c r="BO139" s="142">
        <f t="shared" si="178"/>
        <v>307303535</v>
      </c>
      <c r="BP139" s="142">
        <f t="shared" si="178"/>
        <v>0</v>
      </c>
      <c r="BQ139" s="142">
        <f t="shared" si="178"/>
        <v>11169156</v>
      </c>
      <c r="BR139" s="142">
        <f t="shared" si="178"/>
        <v>0</v>
      </c>
      <c r="BS139" s="142">
        <f t="shared" si="178"/>
        <v>181391538</v>
      </c>
      <c r="BT139" s="142">
        <f t="shared" si="178"/>
        <v>725271496</v>
      </c>
      <c r="BU139" s="133">
        <f t="shared" si="172"/>
        <v>0.35036763573733548</v>
      </c>
      <c r="BV139" s="32">
        <f t="shared" ref="BV139:CP139" si="179">SUM(BV132:BV138)</f>
        <v>6824890347</v>
      </c>
      <c r="BW139" s="32">
        <f t="shared" si="179"/>
        <v>0</v>
      </c>
      <c r="BX139" s="32">
        <f t="shared" si="179"/>
        <v>0</v>
      </c>
      <c r="BY139" s="32">
        <f t="shared" si="179"/>
        <v>2218011406</v>
      </c>
      <c r="BZ139" s="32">
        <f t="shared" si="179"/>
        <v>45348340</v>
      </c>
      <c r="CA139" s="32">
        <f t="shared" si="179"/>
        <v>1020255744</v>
      </c>
      <c r="CB139" s="32">
        <f t="shared" si="179"/>
        <v>38217031</v>
      </c>
      <c r="CC139" s="32">
        <f t="shared" si="179"/>
        <v>0</v>
      </c>
      <c r="CD139" s="32">
        <f t="shared" si="179"/>
        <v>0</v>
      </c>
      <c r="CE139" s="32">
        <f t="shared" si="179"/>
        <v>0</v>
      </c>
      <c r="CF139" s="32">
        <f t="shared" si="179"/>
        <v>0</v>
      </c>
      <c r="CG139" s="32">
        <f t="shared" si="179"/>
        <v>94856575</v>
      </c>
      <c r="CH139" s="32">
        <f t="shared" si="179"/>
        <v>899475319</v>
      </c>
      <c r="CI139" s="32">
        <f t="shared" si="179"/>
        <v>586037877</v>
      </c>
      <c r="CJ139" s="32">
        <f t="shared" si="179"/>
        <v>360968829</v>
      </c>
      <c r="CK139" s="32">
        <f t="shared" si="179"/>
        <v>659625514</v>
      </c>
      <c r="CL139" s="32">
        <f t="shared" si="179"/>
        <v>0</v>
      </c>
      <c r="CM139" s="32">
        <f t="shared" si="179"/>
        <v>0</v>
      </c>
      <c r="CN139" s="32">
        <f t="shared" si="179"/>
        <v>452887249</v>
      </c>
      <c r="CO139" s="32">
        <f t="shared" si="179"/>
        <v>23350298</v>
      </c>
      <c r="CP139" s="32">
        <f t="shared" si="179"/>
        <v>425856165</v>
      </c>
      <c r="CQ139" s="29">
        <f t="shared" si="174"/>
        <v>0.64963236426266446</v>
      </c>
      <c r="CR139" s="140">
        <f t="shared" ref="CR139:DL139" ca="1" si="180">SUM(CR132:CR138)</f>
        <v>12654335617</v>
      </c>
      <c r="CS139" s="140">
        <f t="shared" si="180"/>
        <v>0</v>
      </c>
      <c r="CT139" s="140">
        <f t="shared" ca="1" si="180"/>
        <v>0</v>
      </c>
      <c r="CU139" s="140">
        <f t="shared" si="180"/>
        <v>6240824231</v>
      </c>
      <c r="CV139" s="140">
        <f t="shared" si="180"/>
        <v>125654987</v>
      </c>
      <c r="CW139" s="140">
        <f t="shared" si="180"/>
        <v>879480906</v>
      </c>
      <c r="CX139" s="140">
        <f t="shared" si="180"/>
        <v>100155955</v>
      </c>
      <c r="CY139" s="140">
        <f t="shared" si="180"/>
        <v>54387</v>
      </c>
      <c r="CZ139" s="140">
        <f t="shared" si="180"/>
        <v>30665828</v>
      </c>
      <c r="DA139" s="140">
        <f t="shared" si="180"/>
        <v>1940856</v>
      </c>
      <c r="DB139" s="140">
        <f t="shared" si="180"/>
        <v>3438802</v>
      </c>
      <c r="DC139" s="140">
        <f t="shared" si="180"/>
        <v>251084882</v>
      </c>
      <c r="DD139" s="140">
        <f t="shared" si="180"/>
        <v>644524681</v>
      </c>
      <c r="DE139" s="140">
        <f t="shared" si="180"/>
        <v>555991746</v>
      </c>
      <c r="DF139" s="140">
        <f t="shared" si="180"/>
        <v>125827811</v>
      </c>
      <c r="DG139" s="140">
        <f t="shared" si="180"/>
        <v>395208254</v>
      </c>
      <c r="DH139" s="140">
        <f t="shared" si="180"/>
        <v>0</v>
      </c>
      <c r="DI139" s="140">
        <f t="shared" si="180"/>
        <v>11169156</v>
      </c>
      <c r="DJ139" s="140">
        <f t="shared" si="180"/>
        <v>2247112751</v>
      </c>
      <c r="DK139" s="140">
        <f t="shared" si="180"/>
        <v>181391538</v>
      </c>
      <c r="DL139" s="140">
        <f t="shared" si="180"/>
        <v>859808846</v>
      </c>
    </row>
    <row r="140" spans="3:116" x14ac:dyDescent="0.25">
      <c r="C140" s="137"/>
      <c r="D140" s="126" t="s">
        <v>255</v>
      </c>
      <c r="E140" s="143">
        <v>301</v>
      </c>
      <c r="F140" s="127"/>
      <c r="G140" s="128">
        <f>SUMIF($E$4:$E$127,"301",$G$4:$G$127)</f>
        <v>2524365485</v>
      </c>
      <c r="H140" s="128">
        <f>SUMIF($E$4:$E$127,"301",$H$4:$H$127)</f>
        <v>0</v>
      </c>
      <c r="I140" s="129">
        <f>SUMIF($E$4:$E$127,"301",$I$4:$I$127)</f>
        <v>200000000</v>
      </c>
      <c r="J140" s="129">
        <f>SUMIF($E$4:$E$127,"301",$J$4:$J$127)</f>
        <v>268168096</v>
      </c>
      <c r="K140" s="128">
        <f>SUMIF($E$4:$E$127,"301",$K$4:$K$127)</f>
        <v>0</v>
      </c>
      <c r="L140" s="127">
        <f>SUMIF($E$4:$E$127,"301",$L$4:$L$127)</f>
        <v>701280247</v>
      </c>
      <c r="M140" s="127">
        <f>SUMIF($E$4:$E$127,"301",$M$4:$M$127)</f>
        <v>0</v>
      </c>
      <c r="N140" s="127">
        <f>SUMIF($E$4:$E$127,"301",$N$4:$N$127)</f>
        <v>0</v>
      </c>
      <c r="O140" s="127">
        <f>SUMIF($E$4:$E$127,"301",$O$4:$O$127)</f>
        <v>0</v>
      </c>
      <c r="P140" s="127">
        <f>SUMIF($E$4:$E$127,"301",$P$4:$P$127)</f>
        <v>0</v>
      </c>
      <c r="Q140" s="127">
        <f>SUMIF($E$4:$E$127,"301",$Q$4:$Q$127)</f>
        <v>0</v>
      </c>
      <c r="R140" s="127">
        <f>SUMIF($E$4:$E$127,"301",$R$4:$R$127)</f>
        <v>0</v>
      </c>
      <c r="S140" s="127">
        <f>SUMIF($E$4:$E$127,"301",$S$4:$S$127)</f>
        <v>0</v>
      </c>
      <c r="T140" s="127">
        <f>SUMIF($E$4:$E$127,"301",$T$4:$T$127)</f>
        <v>0</v>
      </c>
      <c r="U140" s="127">
        <f>SUMIF($E$4:$E$127,"301",$U$4:$U$127)</f>
        <v>0</v>
      </c>
      <c r="V140" s="127">
        <f>SUMIF($E$4:$E$127,"301",$V$4:$V$127)</f>
        <v>50000000</v>
      </c>
      <c r="W140" s="127">
        <f>SUMIF($E$4:$E$119,"301",$W$4:$W$119)</f>
        <v>1262551657</v>
      </c>
      <c r="X140" s="127"/>
      <c r="Y140" s="127">
        <f>SUMIF($E$4:$E$119,"301",$Y$4:$Y$119)</f>
        <v>0</v>
      </c>
      <c r="Z140" s="127">
        <f>SUMIF($E$4:$E$127,"301",$Z$4:$Z$127)</f>
        <v>0</v>
      </c>
      <c r="AA140" s="127">
        <f>SUMIF($E$4:$E$127,"301",$AA$4:$AA$127)</f>
        <v>42365485</v>
      </c>
      <c r="AC140" s="130">
        <f t="shared" si="168"/>
        <v>0.80858012483877706</v>
      </c>
      <c r="AD140" s="32">
        <f>SUM(AF140:AX140)</f>
        <v>2041151759</v>
      </c>
      <c r="AE140" s="128">
        <f>SUMIF($E$4:$E$127,"301",$AE$4:$AE$127)</f>
        <v>0</v>
      </c>
      <c r="AF140" s="128">
        <f>SUMIF($E$4:$E$127,"301",$AF$4:$AF$127)</f>
        <v>200000000</v>
      </c>
      <c r="AG140" s="128">
        <f>SUMIF($E$4:$E$127,"301",$AG$4:$AG$127)</f>
        <v>268168096</v>
      </c>
      <c r="AH140" s="128">
        <f>SUMIF($E$4:$E$127,"301",$AH$4:$AH$127)</f>
        <v>0</v>
      </c>
      <c r="AI140" s="128">
        <f>SUMIF($E$4:$E$127,"301",$AI$4:$AI$127)</f>
        <v>701280247</v>
      </c>
      <c r="AJ140" s="128">
        <f>SUMIF($E$4:$E$127,"301",$AJ$4:$AJ$127)</f>
        <v>0</v>
      </c>
      <c r="AK140" s="128">
        <f>SUMIF($E$4:$E$127,"301",$AK$4:$AK$127)</f>
        <v>0</v>
      </c>
      <c r="AL140" s="128">
        <f>SUMIF($E$4:$E$127,"301",$AL$4:$AL$127)</f>
        <v>0</v>
      </c>
      <c r="AM140" s="128">
        <f>SUMIF($E$4:$E$127,"301",$AM$4:$AM$127)</f>
        <v>0</v>
      </c>
      <c r="AN140" s="128">
        <f>SUMIF($E$4:$E$127,"301",$AN$4:$AN$127)</f>
        <v>0</v>
      </c>
      <c r="AO140" s="128">
        <f>SUMIF($E$4:$E$127,"301",$AO$4:$AO$127)</f>
        <v>0</v>
      </c>
      <c r="AP140" s="128">
        <f>SUMIF($E$4:$E$127,"301",$AP$4:$AP$127)</f>
        <v>0</v>
      </c>
      <c r="AQ140" s="128">
        <f>SUMIF($E$4:$E$127,"301",$AQ$4:$AQ$127)</f>
        <v>0</v>
      </c>
      <c r="AR140" s="128">
        <f>SUMIF($E$4:$E$127,"301",$AR$4:$AR$127)</f>
        <v>0</v>
      </c>
      <c r="AS140" s="128">
        <f>SUMIF($E$4:$E$127,"301",$AS$4:$AS$127)</f>
        <v>30058973</v>
      </c>
      <c r="AT140" s="128">
        <f>SUMIF($E$4:$E$127,"301",$AT$4:$AT$127)</f>
        <v>822749581</v>
      </c>
      <c r="AU140" s="128">
        <f>SUMIF($E$4:$E$127,"301",$AU$4:$AU$127)</f>
        <v>0</v>
      </c>
      <c r="AV140" s="128">
        <f>SUMIF($E$4:$E$127,"301",$AV$4:$AV$127)</f>
        <v>0</v>
      </c>
      <c r="AW140" s="128">
        <f>SUMIF($E$4:$E$127,"301",$AW$4:$AW$127)</f>
        <v>0</v>
      </c>
      <c r="AX140" s="128">
        <f>SUMIF($E$4:$E$127,"301",$AX$4:$AX$127)</f>
        <v>18894862</v>
      </c>
      <c r="AY140" s="113">
        <f t="shared" si="170"/>
        <v>0.19141987516122294</v>
      </c>
      <c r="AZ140" s="32">
        <f>SUM(BA140:BT140)</f>
        <v>483213726</v>
      </c>
      <c r="BA140" s="131">
        <f>SUMIF($E$4:$E$127,"301",$BA$4:$BA$127)</f>
        <v>0</v>
      </c>
      <c r="BB140" s="131">
        <f>SUMIF($E$4:$E$127,"301",$BB$4:$BB$127)</f>
        <v>0</v>
      </c>
      <c r="BC140" s="131">
        <f>SUMIF($E$4:$E$127,"301",$BC$4:$BC$127)</f>
        <v>0</v>
      </c>
      <c r="BD140" s="131">
        <f>SUMIF($E$4:$E$127,"301",$BD$4:$BD$127)</f>
        <v>0</v>
      </c>
      <c r="BE140" s="131">
        <f>SUMIF($E$4:$E$127,"301",$BE$4:$BE$127)</f>
        <v>0</v>
      </c>
      <c r="BF140" s="131">
        <f>SUMIF($E$4:$E$127,"301",$BF$4:$BF$127)</f>
        <v>0</v>
      </c>
      <c r="BG140" s="131">
        <f>SUMIF($E$4:$E$127,"301",$BG$4:$BG$127)</f>
        <v>0</v>
      </c>
      <c r="BH140" s="131">
        <f>SUMIF($E$4:$E$127,"301",$BH$4:$BH$127)</f>
        <v>0</v>
      </c>
      <c r="BI140" s="131">
        <f>SUMIF($E$4:$E$127,"301",$BI$4:$BI$127)</f>
        <v>0</v>
      </c>
      <c r="BJ140" s="131">
        <f>SUMIF($E$4:$E$127,"301",$BJ$4:$BJ$127)</f>
        <v>0</v>
      </c>
      <c r="BK140" s="131">
        <f>SUMIF($E$4:$E$127,"301",$BK$4:$BK$127)</f>
        <v>0</v>
      </c>
      <c r="BL140" s="131">
        <f>SUMIF($E$4:$E$127,"301",$BL$4:$BL$127)</f>
        <v>0</v>
      </c>
      <c r="BM140" s="131">
        <f>SUMIF($E$4:$E$127,"301",$BM$4:$BM$127)</f>
        <v>0</v>
      </c>
      <c r="BN140" s="131">
        <f>SUMIF($E$4:$E$127,"301",$BN$4:$BN$127)</f>
        <v>0</v>
      </c>
      <c r="BO140" s="131">
        <f>SUMIF($E$4:$E$127,"301",$BO$4:$BO$127)</f>
        <v>19941027</v>
      </c>
      <c r="BP140" s="131">
        <f>SUMIF($E$4:$E$127,"301",$BP$4:$BP$127)</f>
        <v>439802076</v>
      </c>
      <c r="BQ140" s="131"/>
      <c r="BR140" s="131">
        <f>SUMIF($E$4:$E$127,"301",$BR$4:$BR$127)</f>
        <v>0</v>
      </c>
      <c r="BS140" s="131"/>
      <c r="BT140" s="132">
        <f>SUMIF($E$4:$E$127,"301",$BT$4:$BT$127)</f>
        <v>23470623</v>
      </c>
      <c r="BU140" s="133">
        <f t="shared" si="172"/>
        <v>0.76553122655295691</v>
      </c>
      <c r="BV140" s="32">
        <f>SUM(BX140:CP140)</f>
        <v>1932480606</v>
      </c>
      <c r="BW140" s="128">
        <f>SUMIF($E$4:$E$127,"111",$BW$4:$BW$127)</f>
        <v>0</v>
      </c>
      <c r="BX140" s="128">
        <f>SUMIF($E$4:$E$127,"301",$BX$4:$BX$127)</f>
        <v>192408143</v>
      </c>
      <c r="BY140" s="128">
        <f>SUMIF($E$4:$E$127,"301",$BY$4:$BY$127)</f>
        <v>268168096</v>
      </c>
      <c r="BZ140" s="128">
        <f>SUMIF($E$4:$E$127,"301",$BZ$4:$BZ$127)</f>
        <v>0</v>
      </c>
      <c r="CA140" s="128">
        <f>SUMIF($E$4:$E$127,"301",$CA$4:$CA$127)</f>
        <v>701280247</v>
      </c>
      <c r="CB140" s="128">
        <f>SUMIF($E$4:$E$127,"301",$CB$4:$CB$127)</f>
        <v>0</v>
      </c>
      <c r="CC140" s="128">
        <f>SUMIF($E$4:$E$127,"301",$CC$4:$CC$127)</f>
        <v>0</v>
      </c>
      <c r="CD140" s="128">
        <f>SUMIF($E$4:$E$127,"301",$CD$4:$CD$127)</f>
        <v>0</v>
      </c>
      <c r="CE140" s="128">
        <f>SUMIF($E$4:$E$127,"301",$CE$4:$CE$127)</f>
        <v>0</v>
      </c>
      <c r="CF140" s="128">
        <f>SUMIF($E$4:$E$127,"301",$CF$4:$CF$127)</f>
        <v>0</v>
      </c>
      <c r="CG140" s="128">
        <f>SUMIF($E$4:$E$127,"301",$CG$4:$CG$127)</f>
        <v>0</v>
      </c>
      <c r="CH140" s="128">
        <f>SUMIF($E$4:$E$127,"301",$CH$4:$CH$127)</f>
        <v>0</v>
      </c>
      <c r="CI140" s="128">
        <f>SUMIF($E$4:$E$127,"301",$CI$4:$CI$127)</f>
        <v>0</v>
      </c>
      <c r="CJ140" s="128">
        <f>SUMIF($E$4:$E$127,"301",$CJ$4:$CJ$127)</f>
        <v>0</v>
      </c>
      <c r="CK140" s="128">
        <f>SUMIF($E$4:$E$127,"301",$CK$4:$CK$127)</f>
        <v>30058973</v>
      </c>
      <c r="CL140" s="128">
        <f>SUMIF($E$4:$E$127,"301",$CL$4:$CL$127)</f>
        <v>723539805</v>
      </c>
      <c r="CM140" s="128">
        <f>SUMIF($E$4:$E$127,"301",$CM$4:$CM$127)</f>
        <v>0</v>
      </c>
      <c r="CN140" s="128">
        <f>SUMIF($E$4:$E$127,"301",$CN$4:$CN$127)</f>
        <v>0</v>
      </c>
      <c r="CO140" s="128">
        <f>SUMIF($E$4:$E$127,"301",$CO$4:$CO$127)</f>
        <v>0</v>
      </c>
      <c r="CP140" s="134">
        <f>SUMIF($E$4:$E$127,"301",$CP$4:$CP$127)</f>
        <v>17025342</v>
      </c>
      <c r="CQ140" s="29">
        <f t="shared" si="174"/>
        <v>0.23446877344704309</v>
      </c>
      <c r="CR140" s="32">
        <f>SUM(CS140:DL140)</f>
        <v>591884879</v>
      </c>
      <c r="CS140" s="131">
        <f>SUMIF($E$4:$E$127,"301",$CS$4:$CS$127)</f>
        <v>0</v>
      </c>
      <c r="CT140" s="131">
        <f>SUMIF($E$4:$E$127,"301",$CT$4:$CT$127)</f>
        <v>7591857</v>
      </c>
      <c r="CU140" s="131">
        <f>SUMIF($E$4:$E$127,"301",$CU$4:$CU$127)</f>
        <v>0</v>
      </c>
      <c r="CV140" s="131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5">
        <f>SUMIF($E$4:$E$127,"301",$CZ$4:$CZ$127)</f>
        <v>0</v>
      </c>
      <c r="DA140" s="135">
        <f>SUMIF($E$4:$E$127,"301",$DA$4:$DA$127)</f>
        <v>0</v>
      </c>
      <c r="DB140" s="135">
        <f>SUMIF($E$4:$E$127,"301",$DB$4:$DB$127)</f>
        <v>0</v>
      </c>
      <c r="DC140" s="135">
        <f>SUMIF($E$4:$E$127,"301",$DC$4:$DC$127)</f>
        <v>0</v>
      </c>
      <c r="DD140" s="135">
        <f>SUMIF($E$4:$E$127,"301",$DD$4:$DD$127)</f>
        <v>0</v>
      </c>
      <c r="DE140" s="135">
        <f>SUMIF($E$4:$E$127,"301",$DE$4:$DE$127)</f>
        <v>0</v>
      </c>
      <c r="DF140" s="135">
        <f>SUMIF($E$4:$E$127,"301",$DF$4:$DF$127)</f>
        <v>0</v>
      </c>
      <c r="DG140" s="135">
        <f>SUMIF($E$4:$E$127,"301",$DG$4:$DG$127)</f>
        <v>19941027</v>
      </c>
      <c r="DH140" s="135">
        <f>SUMIF($E$4:$E$127,"301",$DH$4:$DH$127)</f>
        <v>539011852</v>
      </c>
      <c r="DI140" s="135">
        <f>SUMIF($E$4:$E$127,"301",$DI$4:$DI$127)</f>
        <v>0</v>
      </c>
      <c r="DJ140" s="135">
        <f>SUMIF($E$4:$E$127,"301",$DJ$4:$DJ$127)</f>
        <v>0</v>
      </c>
      <c r="DK140" s="135">
        <f>SUMIF($E$4:$E$127,"301",$DK$4:$DK$127)</f>
        <v>0</v>
      </c>
      <c r="DL140" s="135">
        <f>SUMIF($E$4:$E$127,"301",$DL$4:$DL$127)</f>
        <v>25340143</v>
      </c>
    </row>
    <row r="141" spans="3:116" ht="15.75" thickBot="1" x14ac:dyDescent="0.3">
      <c r="C141" s="256" t="s">
        <v>364</v>
      </c>
      <c r="D141" s="257"/>
      <c r="E141" s="144"/>
      <c r="F141" s="145"/>
      <c r="G141" s="146">
        <f t="shared" ref="G141:AB141" si="181">SUM(G139:G140)</f>
        <v>22003591449</v>
      </c>
      <c r="H141" s="146">
        <f t="shared" si="181"/>
        <v>0</v>
      </c>
      <c r="I141" s="146">
        <f t="shared" si="181"/>
        <v>200000000</v>
      </c>
      <c r="J141" s="146">
        <f t="shared" si="181"/>
        <v>8727003733</v>
      </c>
      <c r="K141" s="146">
        <f t="shared" si="181"/>
        <v>171003327</v>
      </c>
      <c r="L141" s="146">
        <f t="shared" si="181"/>
        <v>2601016897</v>
      </c>
      <c r="M141" s="146">
        <f t="shared" si="181"/>
        <v>138372986</v>
      </c>
      <c r="N141" s="146">
        <f t="shared" si="181"/>
        <v>54387</v>
      </c>
      <c r="O141" s="146">
        <f t="shared" si="181"/>
        <v>30665828</v>
      </c>
      <c r="P141" s="146">
        <f t="shared" si="181"/>
        <v>1940856</v>
      </c>
      <c r="Q141" s="146">
        <f t="shared" si="181"/>
        <v>3438802</v>
      </c>
      <c r="R141" s="146">
        <f t="shared" si="181"/>
        <v>345941457</v>
      </c>
      <c r="S141" s="146">
        <f t="shared" si="181"/>
        <v>1544000000</v>
      </c>
      <c r="T141" s="146">
        <f t="shared" si="181"/>
        <v>1142029623</v>
      </c>
      <c r="U141" s="147">
        <f t="shared" si="181"/>
        <v>486796640</v>
      </c>
      <c r="V141" s="146">
        <f t="shared" si="181"/>
        <v>1104833768</v>
      </c>
      <c r="W141" s="146">
        <f t="shared" si="181"/>
        <v>1262551657</v>
      </c>
      <c r="X141" s="146">
        <f t="shared" si="181"/>
        <v>11169156</v>
      </c>
      <c r="Y141" s="146">
        <f t="shared" si="181"/>
        <v>2700000000</v>
      </c>
      <c r="Z141" s="146">
        <f t="shared" si="181"/>
        <v>204741836</v>
      </c>
      <c r="AA141" s="146">
        <f t="shared" si="181"/>
        <v>1328030496</v>
      </c>
      <c r="AB141" s="146">
        <f t="shared" si="181"/>
        <v>0</v>
      </c>
      <c r="AC141" s="148">
        <f t="shared" si="168"/>
        <v>0.67557288770127444</v>
      </c>
      <c r="AD141" s="149">
        <f t="shared" ref="AD141:AX141" si="182">AD139+AD140</f>
        <v>14865029815</v>
      </c>
      <c r="AE141" s="149">
        <f t="shared" si="182"/>
        <v>0</v>
      </c>
      <c r="AF141" s="149">
        <f t="shared" si="182"/>
        <v>200000000</v>
      </c>
      <c r="AG141" s="149">
        <f t="shared" si="182"/>
        <v>4642173051</v>
      </c>
      <c r="AH141" s="149">
        <f t="shared" si="182"/>
        <v>52220600</v>
      </c>
      <c r="AI141" s="149">
        <f t="shared" si="182"/>
        <v>2105771040</v>
      </c>
      <c r="AJ141" s="149">
        <f t="shared" si="182"/>
        <v>38217031</v>
      </c>
      <c r="AK141" s="149">
        <f t="shared" si="182"/>
        <v>0</v>
      </c>
      <c r="AL141" s="149">
        <f t="shared" si="182"/>
        <v>0</v>
      </c>
      <c r="AM141" s="149">
        <f t="shared" si="182"/>
        <v>0</v>
      </c>
      <c r="AN141" s="149">
        <f t="shared" si="182"/>
        <v>0</v>
      </c>
      <c r="AO141" s="149">
        <f t="shared" si="182"/>
        <v>164856575</v>
      </c>
      <c r="AP141" s="149">
        <f t="shared" si="182"/>
        <v>1496388655</v>
      </c>
      <c r="AQ141" s="149">
        <f t="shared" si="182"/>
        <v>775628761</v>
      </c>
      <c r="AR141" s="149">
        <f t="shared" si="182"/>
        <v>486796640</v>
      </c>
      <c r="AS141" s="149">
        <f t="shared" si="182"/>
        <v>777589206</v>
      </c>
      <c r="AT141" s="149">
        <f t="shared" si="182"/>
        <v>822749581</v>
      </c>
      <c r="AU141" s="149">
        <f t="shared" si="182"/>
        <v>0</v>
      </c>
      <c r="AV141" s="149">
        <f t="shared" si="182"/>
        <v>2700000000</v>
      </c>
      <c r="AW141" s="149">
        <f t="shared" si="182"/>
        <v>23350298</v>
      </c>
      <c r="AX141" s="149">
        <f t="shared" si="182"/>
        <v>579288377</v>
      </c>
      <c r="AY141" s="160">
        <f>1-AC141</f>
        <v>0.32442711229872556</v>
      </c>
      <c r="AZ141" s="149">
        <f>AZ139+AZ140</f>
        <v>7138561634</v>
      </c>
      <c r="BA141" s="149">
        <f>BA139+BA140</f>
        <v>0</v>
      </c>
      <c r="BB141" s="149">
        <f>BB139+BB140</f>
        <v>0</v>
      </c>
      <c r="BC141" s="150">
        <f t="shared" ref="BC141:BT141" si="183">+BC139+BC140</f>
        <v>4084830682</v>
      </c>
      <c r="BD141" s="150">
        <f t="shared" si="183"/>
        <v>118782727</v>
      </c>
      <c r="BE141" s="150">
        <f t="shared" si="183"/>
        <v>495245857</v>
      </c>
      <c r="BF141" s="150">
        <f t="shared" si="183"/>
        <v>100155955</v>
      </c>
      <c r="BG141" s="150">
        <f t="shared" si="183"/>
        <v>54387</v>
      </c>
      <c r="BH141" s="150">
        <f t="shared" si="183"/>
        <v>30665828</v>
      </c>
      <c r="BI141" s="150">
        <f t="shared" si="183"/>
        <v>1940856</v>
      </c>
      <c r="BJ141" s="150">
        <f t="shared" si="183"/>
        <v>3438802</v>
      </c>
      <c r="BK141" s="150">
        <f t="shared" si="183"/>
        <v>181084882</v>
      </c>
      <c r="BL141" s="150">
        <f t="shared" si="183"/>
        <v>47611345</v>
      </c>
      <c r="BM141" s="150">
        <f t="shared" si="183"/>
        <v>366400862</v>
      </c>
      <c r="BN141" s="150">
        <f t="shared" si="183"/>
        <v>0</v>
      </c>
      <c r="BO141" s="150">
        <f t="shared" si="183"/>
        <v>327244562</v>
      </c>
      <c r="BP141" s="150">
        <f t="shared" si="183"/>
        <v>439802076</v>
      </c>
      <c r="BQ141" s="150">
        <f t="shared" si="183"/>
        <v>11169156</v>
      </c>
      <c r="BR141" s="150">
        <f t="shared" si="183"/>
        <v>0</v>
      </c>
      <c r="BS141" s="150">
        <f t="shared" si="183"/>
        <v>181391538</v>
      </c>
      <c r="BT141" s="150">
        <f t="shared" si="183"/>
        <v>748742119</v>
      </c>
      <c r="BU141" s="151">
        <f t="shared" si="172"/>
        <v>0.39799734390169278</v>
      </c>
      <c r="BV141" s="152">
        <f>+BV139+BV140</f>
        <v>8757370953</v>
      </c>
      <c r="BW141" s="150">
        <f>+BW139+BW140</f>
        <v>0</v>
      </c>
      <c r="BX141" s="150">
        <f>+BX139+BX140</f>
        <v>192408143</v>
      </c>
      <c r="BY141" s="150">
        <f>+BY139+BY140</f>
        <v>2486179502</v>
      </c>
      <c r="BZ141" s="150">
        <f>+BZ139+BZ140</f>
        <v>45348340</v>
      </c>
      <c r="CA141" s="146">
        <f t="shared" ref="CA141:CP141" si="184">SUM(CA139:CA140)</f>
        <v>1721535991</v>
      </c>
      <c r="CB141" s="146">
        <f t="shared" si="184"/>
        <v>38217031</v>
      </c>
      <c r="CC141" s="146">
        <f t="shared" si="184"/>
        <v>0</v>
      </c>
      <c r="CD141" s="146">
        <f t="shared" si="184"/>
        <v>0</v>
      </c>
      <c r="CE141" s="146">
        <f t="shared" si="184"/>
        <v>0</v>
      </c>
      <c r="CF141" s="146">
        <f t="shared" si="184"/>
        <v>0</v>
      </c>
      <c r="CG141" s="146">
        <f t="shared" si="184"/>
        <v>94856575</v>
      </c>
      <c r="CH141" s="146">
        <f t="shared" si="184"/>
        <v>899475319</v>
      </c>
      <c r="CI141" s="146">
        <f t="shared" si="184"/>
        <v>586037877</v>
      </c>
      <c r="CJ141" s="146">
        <f t="shared" si="184"/>
        <v>360968829</v>
      </c>
      <c r="CK141" s="146">
        <f t="shared" si="184"/>
        <v>689684487</v>
      </c>
      <c r="CL141" s="146">
        <f t="shared" si="184"/>
        <v>723539805</v>
      </c>
      <c r="CM141" s="146">
        <f t="shared" si="184"/>
        <v>0</v>
      </c>
      <c r="CN141" s="146">
        <f t="shared" si="184"/>
        <v>452887249</v>
      </c>
      <c r="CO141" s="146">
        <f t="shared" si="184"/>
        <v>23350298</v>
      </c>
      <c r="CP141" s="153">
        <f t="shared" si="184"/>
        <v>442881507</v>
      </c>
      <c r="CQ141" s="154">
        <f t="shared" si="174"/>
        <v>0.60200265609830717</v>
      </c>
      <c r="CR141" s="146">
        <f t="shared" ref="CR141:DL141" ca="1" si="185">SUM(CR139:CR140)</f>
        <v>13246220496</v>
      </c>
      <c r="CS141" s="153">
        <f t="shared" si="185"/>
        <v>0</v>
      </c>
      <c r="CT141" s="153">
        <f t="shared" ca="1" si="185"/>
        <v>7591857</v>
      </c>
      <c r="CU141" s="153">
        <f t="shared" si="185"/>
        <v>6240824231</v>
      </c>
      <c r="CV141" s="153">
        <f t="shared" si="185"/>
        <v>125654987</v>
      </c>
      <c r="CW141" s="146">
        <f t="shared" si="185"/>
        <v>879480906</v>
      </c>
      <c r="CX141" s="146">
        <f t="shared" si="185"/>
        <v>100155955</v>
      </c>
      <c r="CY141" s="146">
        <f t="shared" si="185"/>
        <v>54387</v>
      </c>
      <c r="CZ141" s="155">
        <f t="shared" si="185"/>
        <v>30665828</v>
      </c>
      <c r="DA141" s="155">
        <f t="shared" si="185"/>
        <v>1940856</v>
      </c>
      <c r="DB141" s="155">
        <f t="shared" si="185"/>
        <v>3438802</v>
      </c>
      <c r="DC141" s="155">
        <f t="shared" si="185"/>
        <v>251084882</v>
      </c>
      <c r="DD141" s="155">
        <f t="shared" si="185"/>
        <v>644524681</v>
      </c>
      <c r="DE141" s="155">
        <f t="shared" si="185"/>
        <v>555991746</v>
      </c>
      <c r="DF141" s="155">
        <f t="shared" si="185"/>
        <v>125827811</v>
      </c>
      <c r="DG141" s="155">
        <f t="shared" si="185"/>
        <v>415149281</v>
      </c>
      <c r="DH141" s="155">
        <f t="shared" si="185"/>
        <v>539011852</v>
      </c>
      <c r="DI141" s="155">
        <f t="shared" si="185"/>
        <v>11169156</v>
      </c>
      <c r="DJ141" s="155">
        <f t="shared" si="185"/>
        <v>2247112751</v>
      </c>
      <c r="DK141" s="155">
        <f t="shared" si="185"/>
        <v>181391538</v>
      </c>
      <c r="DL141" s="155">
        <f t="shared" si="185"/>
        <v>885148989</v>
      </c>
    </row>
    <row r="142" spans="3:116" ht="15.75" thickTop="1" x14ac:dyDescent="0.25">
      <c r="C142" s="50"/>
      <c r="D142" s="156"/>
    </row>
  </sheetData>
  <mergeCells count="93">
    <mergeCell ref="CQ1:CR2"/>
    <mergeCell ref="CS1:CT2"/>
    <mergeCell ref="CU1:CV2"/>
    <mergeCell ref="CW1:CX2"/>
    <mergeCell ref="DK1:DL2"/>
    <mergeCell ref="CY1:CZ2"/>
    <mergeCell ref="DA1:DB2"/>
    <mergeCell ref="DC1:DD2"/>
    <mergeCell ref="DE1:DF2"/>
    <mergeCell ref="DG1:DH2"/>
    <mergeCell ref="DI1:DJ2"/>
    <mergeCell ref="BB1:BC2"/>
    <mergeCell ref="BU1:BV2"/>
    <mergeCell ref="A122:A127"/>
    <mergeCell ref="B122:B124"/>
    <mergeCell ref="B128:D128"/>
    <mergeCell ref="B84:B85"/>
    <mergeCell ref="B86:B90"/>
    <mergeCell ref="A48:A57"/>
    <mergeCell ref="B48:B49"/>
    <mergeCell ref="B50:B51"/>
    <mergeCell ref="B52:B57"/>
    <mergeCell ref="B58:E58"/>
    <mergeCell ref="A59:A70"/>
    <mergeCell ref="B59:B61"/>
    <mergeCell ref="B63:B70"/>
    <mergeCell ref="B20:E20"/>
    <mergeCell ref="C130:E130"/>
    <mergeCell ref="C141:D141"/>
    <mergeCell ref="AC1:AD2"/>
    <mergeCell ref="B91:F91"/>
    <mergeCell ref="A93:A107"/>
    <mergeCell ref="B93:B100"/>
    <mergeCell ref="B104:B106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21:B23"/>
    <mergeCell ref="B24:B32"/>
    <mergeCell ref="A33:A47"/>
    <mergeCell ref="B33:B36"/>
    <mergeCell ref="B37:B40"/>
    <mergeCell ref="B41:B43"/>
    <mergeCell ref="B44:B47"/>
    <mergeCell ref="B4:B6"/>
    <mergeCell ref="B8:B12"/>
    <mergeCell ref="B14:B16"/>
    <mergeCell ref="B18:B19"/>
    <mergeCell ref="AE1:AF2"/>
    <mergeCell ref="AI1:AJ2"/>
    <mergeCell ref="AK1:AL2"/>
    <mergeCell ref="AM1:AN2"/>
    <mergeCell ref="Y1:Y3"/>
    <mergeCell ref="Z1:Z3"/>
    <mergeCell ref="AA1:AA3"/>
    <mergeCell ref="AO1:AP2"/>
    <mergeCell ref="AQ1:AR2"/>
    <mergeCell ref="AS1:AT2"/>
    <mergeCell ref="A2:A3"/>
    <mergeCell ref="B2:B3"/>
    <mergeCell ref="C2:C3"/>
    <mergeCell ref="D2:D3"/>
    <mergeCell ref="E2:E3"/>
    <mergeCell ref="F2:F3"/>
    <mergeCell ref="C1:F1"/>
    <mergeCell ref="T1:T3"/>
    <mergeCell ref="U1:U3"/>
    <mergeCell ref="V1:V3"/>
    <mergeCell ref="W1:W3"/>
    <mergeCell ref="X1:X3"/>
    <mergeCell ref="AG1:AH2"/>
    <mergeCell ref="AU1:AV2"/>
    <mergeCell ref="AW1:AX2"/>
    <mergeCell ref="AY1:AZ2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R1:R3"/>
    <mergeCell ref="S1:S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162 DEL 10 DE JUNIO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151"/>
  <sheetViews>
    <sheetView showGridLines="0" tabSelected="1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D143" sqref="D143:AY14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66.7109375" customWidth="1"/>
    <col min="5" max="5" width="6.28515625" customWidth="1"/>
    <col min="6" max="6" width="20.7109375" hidden="1" customWidth="1"/>
    <col min="7" max="7" width="15" customWidth="1"/>
    <col min="8" max="8" width="11.28515625" hidden="1" customWidth="1"/>
    <col min="9" max="9" width="11.42578125" hidden="1" customWidth="1"/>
    <col min="10" max="10" width="12.7109375" hidden="1" customWidth="1"/>
    <col min="11" max="11" width="12.5703125" hidden="1" customWidth="1"/>
    <col min="12" max="12" width="12.28515625" hidden="1" customWidth="1"/>
    <col min="13" max="13" width="11.5703125" hidden="1" customWidth="1"/>
    <col min="14" max="14" width="8.42578125" hidden="1" customWidth="1"/>
    <col min="15" max="15" width="10.140625" hidden="1" customWidth="1"/>
    <col min="16" max="16" width="10.7109375" hidden="1" customWidth="1"/>
    <col min="17" max="17" width="11" hidden="1" customWidth="1"/>
    <col min="18" max="18" width="11.140625" hidden="1" customWidth="1"/>
    <col min="19" max="19" width="12.7109375" hidden="1" customWidth="1"/>
    <col min="20" max="20" width="12.28515625" hidden="1" customWidth="1"/>
    <col min="21" max="21" width="11.140625" hidden="1" customWidth="1"/>
    <col min="22" max="23" width="12.7109375" hidden="1" customWidth="1"/>
    <col min="24" max="24" width="11.28515625" hidden="1" customWidth="1"/>
    <col min="25" max="25" width="12.7109375" hidden="1" customWidth="1"/>
    <col min="26" max="27" width="12.28515625" hidden="1" customWidth="1"/>
    <col min="28" max="28" width="2" bestFit="1" customWidth="1"/>
    <col min="29" max="29" width="8.28515625" bestFit="1" customWidth="1"/>
    <col min="30" max="30" width="14.4257812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6" width="17.7109375" hidden="1" customWidth="1"/>
    <col min="47" max="47" width="13.4257812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11" customWidth="1"/>
    <col min="52" max="52" width="14.85546875" customWidth="1"/>
    <col min="53" max="53" width="10" hidden="1" customWidth="1"/>
    <col min="54" max="54" width="14.5703125" hidden="1" customWidth="1"/>
    <col min="55" max="55" width="15.140625" hidden="1" customWidth="1"/>
    <col min="56" max="56" width="14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4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9.7109375" customWidth="1"/>
    <col min="96" max="96" width="15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  <col min="118" max="119" width="11.42578125" style="189"/>
    <col min="120" max="120" width="15.7109375" style="189" customWidth="1"/>
    <col min="121" max="121" width="14.42578125" style="189" customWidth="1"/>
    <col min="122" max="123" width="11.42578125" style="189"/>
  </cols>
  <sheetData>
    <row r="1" spans="1:122" ht="18" customHeight="1" x14ac:dyDescent="0.3">
      <c r="C1" s="201" t="s">
        <v>0</v>
      </c>
      <c r="D1" s="201"/>
      <c r="E1" s="201"/>
      <c r="F1" s="201"/>
      <c r="G1" s="266" t="s">
        <v>11</v>
      </c>
      <c r="H1" s="266" t="s">
        <v>11</v>
      </c>
      <c r="I1" s="266" t="s">
        <v>11</v>
      </c>
      <c r="J1" s="266" t="s">
        <v>11</v>
      </c>
      <c r="K1" s="266" t="s">
        <v>11</v>
      </c>
      <c r="L1" s="266" t="s">
        <v>11</v>
      </c>
      <c r="M1" s="266" t="s">
        <v>11</v>
      </c>
      <c r="N1" s="266" t="s">
        <v>11</v>
      </c>
      <c r="O1" s="266" t="s">
        <v>11</v>
      </c>
      <c r="P1" s="266" t="s">
        <v>11</v>
      </c>
      <c r="Q1" s="266" t="s">
        <v>11</v>
      </c>
      <c r="R1" s="266" t="s">
        <v>11</v>
      </c>
      <c r="S1" s="266" t="s">
        <v>11</v>
      </c>
      <c r="T1" s="266" t="s">
        <v>11</v>
      </c>
      <c r="U1" s="266" t="s">
        <v>11</v>
      </c>
      <c r="V1" s="266" t="s">
        <v>11</v>
      </c>
      <c r="W1" s="266" t="s">
        <v>11</v>
      </c>
      <c r="X1" s="266" t="s">
        <v>11</v>
      </c>
      <c r="Y1" s="266" t="s">
        <v>11</v>
      </c>
      <c r="Z1" s="266" t="s">
        <v>11</v>
      </c>
      <c r="AA1" s="266" t="s">
        <v>11</v>
      </c>
      <c r="AB1" s="1"/>
      <c r="AC1" s="258" t="s">
        <v>368</v>
      </c>
      <c r="AD1" s="259"/>
      <c r="AE1" s="258" t="s">
        <v>368</v>
      </c>
      <c r="AF1" s="259"/>
      <c r="AG1" s="258" t="s">
        <v>368</v>
      </c>
      <c r="AH1" s="259"/>
      <c r="AI1" s="258" t="s">
        <v>368</v>
      </c>
      <c r="AJ1" s="259"/>
      <c r="AK1" s="258" t="s">
        <v>368</v>
      </c>
      <c r="AL1" s="259"/>
      <c r="AM1" s="258" t="s">
        <v>368</v>
      </c>
      <c r="AN1" s="259"/>
      <c r="AO1" s="258" t="s">
        <v>368</v>
      </c>
      <c r="AP1" s="259"/>
      <c r="AQ1" s="258" t="s">
        <v>368</v>
      </c>
      <c r="AR1" s="259"/>
      <c r="AS1" s="258" t="s">
        <v>368</v>
      </c>
      <c r="AT1" s="259"/>
      <c r="AU1" s="258" t="s">
        <v>368</v>
      </c>
      <c r="AV1" s="259"/>
      <c r="AW1" s="258" t="s">
        <v>368</v>
      </c>
      <c r="AX1" s="259"/>
      <c r="AY1" s="262" t="s">
        <v>370</v>
      </c>
      <c r="AZ1" s="263"/>
      <c r="BA1" s="5"/>
      <c r="BB1" s="269" t="s">
        <v>371</v>
      </c>
      <c r="BC1" s="269"/>
      <c r="BD1" s="165"/>
      <c r="BE1" s="165"/>
      <c r="BF1" s="165"/>
      <c r="BG1" s="165"/>
      <c r="BH1" s="165"/>
      <c r="BI1" s="165"/>
      <c r="BJ1" s="165"/>
      <c r="BK1" s="165"/>
      <c r="BL1" s="165"/>
      <c r="BM1" s="165"/>
      <c r="BN1" s="165"/>
      <c r="BO1" s="165"/>
      <c r="BP1" s="165"/>
      <c r="BQ1" s="165"/>
      <c r="BR1" s="165"/>
      <c r="BS1" s="165"/>
      <c r="BT1" s="165"/>
      <c r="BU1" s="269" t="s">
        <v>371</v>
      </c>
      <c r="BV1" s="269"/>
      <c r="BW1" s="165"/>
      <c r="BX1" s="165"/>
      <c r="BY1" s="165"/>
      <c r="BZ1" s="165"/>
      <c r="CA1" s="165"/>
      <c r="CB1" s="165"/>
      <c r="CC1" s="165"/>
      <c r="CD1" s="165"/>
      <c r="CE1" s="165"/>
      <c r="CF1" s="165"/>
      <c r="CG1" s="165"/>
      <c r="CH1" s="165"/>
      <c r="CI1" s="165"/>
      <c r="CJ1" s="165"/>
      <c r="CK1" s="165"/>
      <c r="CL1" s="165"/>
      <c r="CM1" s="165"/>
      <c r="CN1" s="165"/>
      <c r="CO1" s="165"/>
      <c r="CP1" s="166"/>
      <c r="CQ1" s="270" t="s">
        <v>372</v>
      </c>
      <c r="CR1" s="271"/>
      <c r="CS1" s="270" t="s">
        <v>372</v>
      </c>
      <c r="CT1" s="271"/>
      <c r="CU1" s="270" t="s">
        <v>372</v>
      </c>
      <c r="CV1" s="271"/>
      <c r="CW1" s="270" t="s">
        <v>372</v>
      </c>
      <c r="CX1" s="271"/>
      <c r="CY1" s="270" t="s">
        <v>372</v>
      </c>
      <c r="CZ1" s="271"/>
      <c r="DA1" s="270" t="s">
        <v>372</v>
      </c>
      <c r="DB1" s="271"/>
      <c r="DC1" s="270" t="s">
        <v>372</v>
      </c>
      <c r="DD1" s="271"/>
      <c r="DE1" s="270" t="s">
        <v>372</v>
      </c>
      <c r="DF1" s="271"/>
      <c r="DG1" s="270" t="s">
        <v>372</v>
      </c>
      <c r="DH1" s="271"/>
      <c r="DI1" s="270" t="s">
        <v>372</v>
      </c>
      <c r="DJ1" s="271"/>
      <c r="DK1" s="270" t="s">
        <v>372</v>
      </c>
      <c r="DL1" s="271"/>
    </row>
    <row r="2" spans="1:122" ht="15.6" customHeight="1" x14ac:dyDescent="0.3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23" t="s">
        <v>10</v>
      </c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1"/>
      <c r="AC2" s="260"/>
      <c r="AD2" s="261"/>
      <c r="AE2" s="260"/>
      <c r="AF2" s="261"/>
      <c r="AG2" s="260"/>
      <c r="AH2" s="261"/>
      <c r="AI2" s="260"/>
      <c r="AJ2" s="261"/>
      <c r="AK2" s="260"/>
      <c r="AL2" s="261"/>
      <c r="AM2" s="260"/>
      <c r="AN2" s="261"/>
      <c r="AO2" s="260"/>
      <c r="AP2" s="261"/>
      <c r="AQ2" s="260"/>
      <c r="AR2" s="261"/>
      <c r="AS2" s="260"/>
      <c r="AT2" s="261"/>
      <c r="AU2" s="260"/>
      <c r="AV2" s="261"/>
      <c r="AW2" s="260"/>
      <c r="AX2" s="261"/>
      <c r="AY2" s="264"/>
      <c r="AZ2" s="265"/>
      <c r="BA2" s="9"/>
      <c r="BB2" s="269"/>
      <c r="BC2" s="269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269"/>
      <c r="BV2" s="269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6"/>
      <c r="CQ2" s="272"/>
      <c r="CR2" s="273"/>
      <c r="CS2" s="272"/>
      <c r="CT2" s="273"/>
      <c r="CU2" s="272"/>
      <c r="CV2" s="273"/>
      <c r="CW2" s="272"/>
      <c r="CX2" s="273"/>
      <c r="CY2" s="272"/>
      <c r="CZ2" s="273"/>
      <c r="DA2" s="272"/>
      <c r="DB2" s="273"/>
      <c r="DC2" s="272"/>
      <c r="DD2" s="273"/>
      <c r="DE2" s="272"/>
      <c r="DF2" s="273"/>
      <c r="DG2" s="272"/>
      <c r="DH2" s="273"/>
      <c r="DI2" s="272"/>
      <c r="DJ2" s="273"/>
      <c r="DK2" s="272"/>
      <c r="DL2" s="273"/>
    </row>
    <row r="3" spans="1:122" ht="43.5" customHeight="1" x14ac:dyDescent="0.3">
      <c r="A3" s="207"/>
      <c r="B3" s="207"/>
      <c r="C3" s="209"/>
      <c r="D3" s="207"/>
      <c r="E3" s="211"/>
      <c r="F3" s="224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C3" s="161" t="s">
        <v>36</v>
      </c>
      <c r="AD3" s="161" t="s">
        <v>369</v>
      </c>
      <c r="AE3" s="161" t="s">
        <v>36</v>
      </c>
      <c r="AF3" s="161" t="s">
        <v>369</v>
      </c>
      <c r="AG3" s="161" t="s">
        <v>36</v>
      </c>
      <c r="AH3" s="161" t="s">
        <v>369</v>
      </c>
      <c r="AI3" s="161" t="s">
        <v>36</v>
      </c>
      <c r="AJ3" s="161" t="s">
        <v>369</v>
      </c>
      <c r="AK3" s="161" t="s">
        <v>36</v>
      </c>
      <c r="AL3" s="161" t="s">
        <v>369</v>
      </c>
      <c r="AM3" s="161" t="s">
        <v>36</v>
      </c>
      <c r="AN3" s="161" t="s">
        <v>369</v>
      </c>
      <c r="AO3" s="161" t="s">
        <v>36</v>
      </c>
      <c r="AP3" s="161" t="s">
        <v>369</v>
      </c>
      <c r="AQ3" s="161" t="s">
        <v>36</v>
      </c>
      <c r="AR3" s="161" t="s">
        <v>369</v>
      </c>
      <c r="AS3" s="161" t="s">
        <v>36</v>
      </c>
      <c r="AT3" s="161" t="s">
        <v>369</v>
      </c>
      <c r="AU3" s="161" t="s">
        <v>36</v>
      </c>
      <c r="AV3" s="161" t="s">
        <v>369</v>
      </c>
      <c r="AW3" s="161" t="s">
        <v>36</v>
      </c>
      <c r="AX3" s="161" t="s">
        <v>369</v>
      </c>
      <c r="AY3" s="162" t="s">
        <v>36</v>
      </c>
      <c r="AZ3" s="162" t="s">
        <v>369</v>
      </c>
      <c r="BA3" s="20" t="s">
        <v>16</v>
      </c>
      <c r="BB3" s="161" t="s">
        <v>36</v>
      </c>
      <c r="BC3" s="161" t="s">
        <v>369</v>
      </c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1" t="s">
        <v>36</v>
      </c>
      <c r="BV3" s="161" t="s">
        <v>369</v>
      </c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4"/>
      <c r="CQ3" s="162" t="s">
        <v>36</v>
      </c>
      <c r="CR3" s="162" t="s">
        <v>369</v>
      </c>
      <c r="CS3" s="162" t="s">
        <v>36</v>
      </c>
      <c r="CT3" s="162" t="s">
        <v>369</v>
      </c>
      <c r="CU3" s="162" t="s">
        <v>36</v>
      </c>
      <c r="CV3" s="162" t="s">
        <v>369</v>
      </c>
      <c r="CW3" s="162" t="s">
        <v>36</v>
      </c>
      <c r="CX3" s="162" t="s">
        <v>369</v>
      </c>
      <c r="CY3" s="162" t="s">
        <v>36</v>
      </c>
      <c r="CZ3" s="162" t="s">
        <v>369</v>
      </c>
      <c r="DA3" s="162" t="s">
        <v>36</v>
      </c>
      <c r="DB3" s="162" t="s">
        <v>369</v>
      </c>
      <c r="DC3" s="162" t="s">
        <v>36</v>
      </c>
      <c r="DD3" s="162" t="s">
        <v>369</v>
      </c>
      <c r="DE3" s="162" t="s">
        <v>36</v>
      </c>
      <c r="DF3" s="162" t="s">
        <v>369</v>
      </c>
      <c r="DG3" s="162" t="s">
        <v>36</v>
      </c>
      <c r="DH3" s="162" t="s">
        <v>369</v>
      </c>
      <c r="DI3" s="162" t="s">
        <v>36</v>
      </c>
      <c r="DJ3" s="162" t="s">
        <v>369</v>
      </c>
      <c r="DK3" s="162" t="s">
        <v>36</v>
      </c>
      <c r="DL3" s="162" t="s">
        <v>369</v>
      </c>
      <c r="DN3" s="190"/>
      <c r="DO3" s="190"/>
      <c r="DP3" s="191" t="s">
        <v>383</v>
      </c>
      <c r="DQ3" s="191" t="s">
        <v>384</v>
      </c>
      <c r="DR3" s="192" t="s">
        <v>385</v>
      </c>
    </row>
    <row r="4" spans="1:122" ht="37.5" hidden="1" customHeight="1" x14ac:dyDescent="0.25">
      <c r="A4" s="22" t="s">
        <v>39</v>
      </c>
      <c r="B4" s="212" t="s">
        <v>40</v>
      </c>
      <c r="C4" s="23" t="s">
        <v>41</v>
      </c>
      <c r="D4" s="24" t="s">
        <v>42</v>
      </c>
      <c r="E4" s="25">
        <v>510</v>
      </c>
      <c r="F4" s="26" t="s">
        <v>43</v>
      </c>
      <c r="G4" s="27">
        <f t="shared" ref="G4:G19" si="0">SUM(H4:AA4)</f>
        <v>25000000</v>
      </c>
      <c r="H4" s="27"/>
      <c r="I4" s="27"/>
      <c r="J4" s="27"/>
      <c r="K4" s="27"/>
      <c r="L4" s="27">
        <v>25000000</v>
      </c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8"/>
      <c r="AC4" s="29">
        <f t="shared" ref="AC4:AC67" si="1">+AD4/G4</f>
        <v>1</v>
      </c>
      <c r="AD4" s="27">
        <f t="shared" ref="AD4:AD19" si="2">SUM(AE4:AX4)</f>
        <v>25000000</v>
      </c>
      <c r="AE4" s="30"/>
      <c r="AF4" s="31"/>
      <c r="AG4" s="31"/>
      <c r="AH4" s="31"/>
      <c r="AI4" s="27">
        <v>25000000</v>
      </c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29">
        <f t="shared" ref="AY4:AY67" si="3">1-AC4</f>
        <v>0</v>
      </c>
      <c r="AZ4" s="27">
        <f t="shared" ref="AZ4:AZ19" si="4">SUM(BA4:BT4)</f>
        <v>0</v>
      </c>
      <c r="BA4" s="27">
        <f t="shared" ref="BA4:BP19" si="5">+H4</f>
        <v>0</v>
      </c>
      <c r="BB4" s="27">
        <f t="shared" si="5"/>
        <v>0</v>
      </c>
      <c r="BC4" s="27">
        <f t="shared" ref="BC4:BD16" si="6">J4-AG4</f>
        <v>0</v>
      </c>
      <c r="BD4" s="27">
        <f t="shared" si="6"/>
        <v>0</v>
      </c>
      <c r="BE4" s="27">
        <f t="shared" ref="BE4:BP19" si="7">+L4-AI4</f>
        <v>0</v>
      </c>
      <c r="BF4" s="27">
        <f t="shared" si="7"/>
        <v>0</v>
      </c>
      <c r="BG4" s="27">
        <f t="shared" si="7"/>
        <v>0</v>
      </c>
      <c r="BH4" s="27">
        <f t="shared" si="7"/>
        <v>0</v>
      </c>
      <c r="BI4" s="27">
        <f t="shared" si="7"/>
        <v>0</v>
      </c>
      <c r="BJ4" s="27">
        <f t="shared" si="7"/>
        <v>0</v>
      </c>
      <c r="BK4" s="27">
        <f t="shared" si="7"/>
        <v>0</v>
      </c>
      <c r="BL4" s="27">
        <f t="shared" si="7"/>
        <v>0</v>
      </c>
      <c r="BM4" s="27">
        <f t="shared" si="7"/>
        <v>0</v>
      </c>
      <c r="BN4" s="27">
        <f t="shared" si="7"/>
        <v>0</v>
      </c>
      <c r="BO4" s="27">
        <f t="shared" si="7"/>
        <v>0</v>
      </c>
      <c r="BP4" s="27">
        <f t="shared" si="7"/>
        <v>0</v>
      </c>
      <c r="BQ4" s="27"/>
      <c r="BR4" s="27">
        <f>+Y4-AV4</f>
        <v>0</v>
      </c>
      <c r="BS4" s="27">
        <f t="shared" ref="BS4:BS16" si="8">Z4-AW4</f>
        <v>0</v>
      </c>
      <c r="BT4" s="27">
        <f t="shared" ref="BT4:BT16" si="9">+AA4-AX4</f>
        <v>0</v>
      </c>
      <c r="BU4" s="29">
        <f t="shared" ref="BU4:BU67" si="10">+BV4/G4</f>
        <v>0.79162392000000004</v>
      </c>
      <c r="BV4" s="27">
        <f t="shared" ref="BV4:BV19" si="11">SUM(BW4:CP4)</f>
        <v>19790598</v>
      </c>
      <c r="BW4" s="27"/>
      <c r="BX4" s="27"/>
      <c r="BY4" s="27"/>
      <c r="BZ4" s="27"/>
      <c r="CA4" s="27">
        <f>+'[1]JUNIO 2016'!$H$1467</f>
        <v>19790598</v>
      </c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9">
        <f t="shared" ref="CQ4:CQ58" si="12">1-BU4</f>
        <v>0.20837607999999996</v>
      </c>
      <c r="CR4" s="27">
        <f t="shared" ref="CR4:CR19" si="13">SUM(CS4:DL4)</f>
        <v>5209402</v>
      </c>
      <c r="CS4" s="27">
        <f t="shared" ref="CS4:CY19" si="14">H4-BW4</f>
        <v>0</v>
      </c>
      <c r="CT4" s="27">
        <f t="shared" si="14"/>
        <v>0</v>
      </c>
      <c r="CU4" s="27">
        <f t="shared" si="14"/>
        <v>0</v>
      </c>
      <c r="CV4" s="27">
        <f t="shared" si="14"/>
        <v>0</v>
      </c>
      <c r="CW4" s="27">
        <f t="shared" si="14"/>
        <v>5209402</v>
      </c>
      <c r="CX4" s="27">
        <f t="shared" si="14"/>
        <v>0</v>
      </c>
      <c r="CY4" s="27">
        <f t="shared" si="14"/>
        <v>0</v>
      </c>
      <c r="CZ4" s="27">
        <f t="shared" ref="CZ4:DB16" si="15">+O4-CD4</f>
        <v>0</v>
      </c>
      <c r="DA4" s="27">
        <f t="shared" si="15"/>
        <v>0</v>
      </c>
      <c r="DB4" s="27">
        <f t="shared" si="15"/>
        <v>0</v>
      </c>
      <c r="DC4" s="27">
        <f t="shared" ref="DC4:DE19" si="16">R4-CG4</f>
        <v>0</v>
      </c>
      <c r="DD4" s="27">
        <f t="shared" si="16"/>
        <v>0</v>
      </c>
      <c r="DE4" s="27">
        <f t="shared" si="16"/>
        <v>0</v>
      </c>
      <c r="DF4" s="27">
        <f t="shared" ref="DF4:DH16" si="17">+U4-CJ4</f>
        <v>0</v>
      </c>
      <c r="DG4" s="27">
        <f t="shared" si="17"/>
        <v>0</v>
      </c>
      <c r="DH4" s="27">
        <f t="shared" si="17"/>
        <v>0</v>
      </c>
      <c r="DI4" s="27"/>
      <c r="DJ4" s="27">
        <f t="shared" ref="DJ4:DL16" si="18">+Y4-CN4</f>
        <v>0</v>
      </c>
      <c r="DK4" s="27">
        <f t="shared" si="18"/>
        <v>0</v>
      </c>
      <c r="DL4" s="27">
        <f t="shared" si="18"/>
        <v>0</v>
      </c>
      <c r="DN4" s="193"/>
      <c r="DO4" s="193"/>
      <c r="DP4" s="193"/>
      <c r="DQ4" s="193"/>
      <c r="DR4" s="193"/>
    </row>
    <row r="5" spans="1:122" ht="39.75" hidden="1" customHeight="1" x14ac:dyDescent="0.25">
      <c r="A5" s="34"/>
      <c r="B5" s="225"/>
      <c r="C5" s="23" t="s">
        <v>44</v>
      </c>
      <c r="D5" s="24" t="s">
        <v>45</v>
      </c>
      <c r="E5" s="25">
        <v>510</v>
      </c>
      <c r="F5" s="26" t="s">
        <v>43</v>
      </c>
      <c r="G5" s="27">
        <f t="shared" si="0"/>
        <v>59800000</v>
      </c>
      <c r="H5" s="27"/>
      <c r="I5" s="27"/>
      <c r="J5" s="27">
        <v>18000000</v>
      </c>
      <c r="K5" s="27"/>
      <c r="L5" s="27">
        <v>36000000</v>
      </c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>
        <f>5000000+1800000-1000000</f>
        <v>5800000</v>
      </c>
      <c r="AB5" s="35"/>
      <c r="AC5" s="29">
        <f t="shared" si="1"/>
        <v>0.63228548494983272</v>
      </c>
      <c r="AD5" s="27">
        <f t="shared" si="2"/>
        <v>37810672</v>
      </c>
      <c r="AE5" s="27"/>
      <c r="AF5" s="27"/>
      <c r="AG5" s="27"/>
      <c r="AH5" s="27"/>
      <c r="AI5" s="27">
        <f>+'[2]MARZO 2016 ULTIMO'!$O$867</f>
        <v>36000000</v>
      </c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>
        <f>+'[3]MAYO 2016'!$AG$1285</f>
        <v>1810672</v>
      </c>
      <c r="AY5" s="29">
        <f t="shared" si="3"/>
        <v>0.36771451505016728</v>
      </c>
      <c r="AZ5" s="27">
        <f t="shared" si="4"/>
        <v>21989328</v>
      </c>
      <c r="BA5" s="27">
        <f t="shared" si="5"/>
        <v>0</v>
      </c>
      <c r="BB5" s="27">
        <f t="shared" si="5"/>
        <v>0</v>
      </c>
      <c r="BC5" s="27">
        <f t="shared" si="6"/>
        <v>18000000</v>
      </c>
      <c r="BD5" s="27">
        <f t="shared" si="6"/>
        <v>0</v>
      </c>
      <c r="BE5" s="27">
        <f t="shared" si="7"/>
        <v>0</v>
      </c>
      <c r="BF5" s="27">
        <f t="shared" si="7"/>
        <v>0</v>
      </c>
      <c r="BG5" s="27">
        <f t="shared" si="7"/>
        <v>0</v>
      </c>
      <c r="BH5" s="27">
        <f t="shared" si="7"/>
        <v>0</v>
      </c>
      <c r="BI5" s="27">
        <f t="shared" si="7"/>
        <v>0</v>
      </c>
      <c r="BJ5" s="27">
        <f t="shared" si="7"/>
        <v>0</v>
      </c>
      <c r="BK5" s="27">
        <f t="shared" si="7"/>
        <v>0</v>
      </c>
      <c r="BL5" s="27">
        <f t="shared" si="7"/>
        <v>0</v>
      </c>
      <c r="BM5" s="27">
        <f t="shared" si="7"/>
        <v>0</v>
      </c>
      <c r="BN5" s="27">
        <f t="shared" si="7"/>
        <v>0</v>
      </c>
      <c r="BO5" s="27">
        <f t="shared" si="7"/>
        <v>0</v>
      </c>
      <c r="BP5" s="27">
        <f t="shared" si="7"/>
        <v>0</v>
      </c>
      <c r="BQ5" s="27"/>
      <c r="BR5" s="27"/>
      <c r="BS5" s="27">
        <f t="shared" si="8"/>
        <v>0</v>
      </c>
      <c r="BT5" s="27">
        <f t="shared" si="9"/>
        <v>3989328</v>
      </c>
      <c r="BU5" s="29">
        <f t="shared" si="10"/>
        <v>0.63225928093645489</v>
      </c>
      <c r="BV5" s="27">
        <f t="shared" si="11"/>
        <v>37809105</v>
      </c>
      <c r="BW5" s="27"/>
      <c r="BX5" s="27"/>
      <c r="BY5" s="27"/>
      <c r="BZ5" s="27"/>
      <c r="CA5" s="27">
        <f>+'[1]JUNIO 2016'!$H$1488+'[1]JUNIO 2016'!$H$1494</f>
        <v>35999998</v>
      </c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>
        <f>+'[3]MAYO 2016'!$H$1288+'[3]MAYO 2016'!$H$1290+'[3]MAYO 2016'!$H$1294</f>
        <v>1809107</v>
      </c>
      <c r="CQ5" s="29">
        <f t="shared" si="12"/>
        <v>0.36774071906354511</v>
      </c>
      <c r="CR5" s="27">
        <f t="shared" si="13"/>
        <v>21990895</v>
      </c>
      <c r="CS5" s="27">
        <f t="shared" si="14"/>
        <v>0</v>
      </c>
      <c r="CT5" s="27">
        <f t="shared" si="14"/>
        <v>0</v>
      </c>
      <c r="CU5" s="27">
        <f t="shared" si="14"/>
        <v>18000000</v>
      </c>
      <c r="CV5" s="27">
        <f t="shared" si="14"/>
        <v>0</v>
      </c>
      <c r="CW5" s="27">
        <f t="shared" si="14"/>
        <v>2</v>
      </c>
      <c r="CX5" s="27">
        <f t="shared" si="14"/>
        <v>0</v>
      </c>
      <c r="CY5" s="27">
        <f t="shared" si="14"/>
        <v>0</v>
      </c>
      <c r="CZ5" s="27">
        <f t="shared" si="15"/>
        <v>0</v>
      </c>
      <c r="DA5" s="27">
        <f t="shared" si="15"/>
        <v>0</v>
      </c>
      <c r="DB5" s="27">
        <f t="shared" si="15"/>
        <v>0</v>
      </c>
      <c r="DC5" s="27">
        <f t="shared" si="16"/>
        <v>0</v>
      </c>
      <c r="DD5" s="27">
        <f t="shared" si="16"/>
        <v>0</v>
      </c>
      <c r="DE5" s="27">
        <f t="shared" si="16"/>
        <v>0</v>
      </c>
      <c r="DF5" s="27">
        <f t="shared" si="17"/>
        <v>0</v>
      </c>
      <c r="DG5" s="27">
        <f t="shared" si="17"/>
        <v>0</v>
      </c>
      <c r="DH5" s="27">
        <f t="shared" si="17"/>
        <v>0</v>
      </c>
      <c r="DI5" s="27"/>
      <c r="DJ5" s="27">
        <f t="shared" si="18"/>
        <v>0</v>
      </c>
      <c r="DK5" s="27">
        <f t="shared" si="18"/>
        <v>0</v>
      </c>
      <c r="DL5" s="27">
        <f t="shared" si="18"/>
        <v>3990893</v>
      </c>
      <c r="DN5" s="193"/>
      <c r="DO5" s="193"/>
      <c r="DP5" s="193"/>
      <c r="DQ5" s="193"/>
      <c r="DR5" s="193"/>
    </row>
    <row r="6" spans="1:122" ht="30.75" hidden="1" customHeight="1" x14ac:dyDescent="0.25">
      <c r="A6" s="34"/>
      <c r="B6" s="213"/>
      <c r="C6" s="23" t="s">
        <v>46</v>
      </c>
      <c r="D6" s="24" t="s">
        <v>47</v>
      </c>
      <c r="E6" s="36">
        <v>510</v>
      </c>
      <c r="F6" s="26" t="s">
        <v>43</v>
      </c>
      <c r="G6" s="27">
        <f t="shared" si="0"/>
        <v>21000000</v>
      </c>
      <c r="H6" s="27"/>
      <c r="I6" s="27"/>
      <c r="J6" s="27">
        <v>11000000</v>
      </c>
      <c r="K6" s="27"/>
      <c r="L6" s="27">
        <v>10000000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35"/>
      <c r="AC6" s="29">
        <f t="shared" si="1"/>
        <v>0.47619047619047616</v>
      </c>
      <c r="AD6" s="27">
        <f t="shared" si="2"/>
        <v>10000000</v>
      </c>
      <c r="AE6" s="27"/>
      <c r="AF6" s="27"/>
      <c r="AG6" s="27"/>
      <c r="AH6" s="27"/>
      <c r="AI6" s="27">
        <f>+'[2]MARZO 2016 ULTIMO'!$O$878</f>
        <v>10000000</v>
      </c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9">
        <f t="shared" si="3"/>
        <v>0.52380952380952384</v>
      </c>
      <c r="AZ6" s="27">
        <f t="shared" si="4"/>
        <v>11000000</v>
      </c>
      <c r="BA6" s="27">
        <f t="shared" si="5"/>
        <v>0</v>
      </c>
      <c r="BB6" s="27">
        <f t="shared" si="5"/>
        <v>0</v>
      </c>
      <c r="BC6" s="27">
        <f t="shared" si="6"/>
        <v>11000000</v>
      </c>
      <c r="BD6" s="27">
        <f t="shared" si="6"/>
        <v>0</v>
      </c>
      <c r="BE6" s="27">
        <f t="shared" si="7"/>
        <v>0</v>
      </c>
      <c r="BF6" s="27">
        <f t="shared" si="7"/>
        <v>0</v>
      </c>
      <c r="BG6" s="27">
        <f t="shared" si="7"/>
        <v>0</v>
      </c>
      <c r="BH6" s="27">
        <f t="shared" si="7"/>
        <v>0</v>
      </c>
      <c r="BI6" s="27">
        <f t="shared" si="7"/>
        <v>0</v>
      </c>
      <c r="BJ6" s="27">
        <f t="shared" si="7"/>
        <v>0</v>
      </c>
      <c r="BK6" s="27">
        <f t="shared" si="7"/>
        <v>0</v>
      </c>
      <c r="BL6" s="27">
        <f t="shared" si="7"/>
        <v>0</v>
      </c>
      <c r="BM6" s="27">
        <f t="shared" si="7"/>
        <v>0</v>
      </c>
      <c r="BN6" s="27">
        <f t="shared" si="7"/>
        <v>0</v>
      </c>
      <c r="BO6" s="27">
        <f t="shared" si="7"/>
        <v>0</v>
      </c>
      <c r="BP6" s="27">
        <f t="shared" si="7"/>
        <v>0</v>
      </c>
      <c r="BQ6" s="27"/>
      <c r="BR6" s="27"/>
      <c r="BS6" s="27">
        <f t="shared" si="8"/>
        <v>0</v>
      </c>
      <c r="BT6" s="27">
        <f t="shared" si="9"/>
        <v>0</v>
      </c>
      <c r="BU6" s="29">
        <f t="shared" si="10"/>
        <v>0.47619047619047616</v>
      </c>
      <c r="BV6" s="27">
        <f t="shared" si="11"/>
        <v>10000000</v>
      </c>
      <c r="BW6" s="27"/>
      <c r="BX6" s="27"/>
      <c r="BY6" s="27"/>
      <c r="BZ6" s="27"/>
      <c r="CA6" s="27">
        <f>+'[4]ABRIL 2016'!$O$1124</f>
        <v>10000000</v>
      </c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9">
        <f t="shared" si="12"/>
        <v>0.52380952380952384</v>
      </c>
      <c r="CR6" s="27">
        <f t="shared" si="13"/>
        <v>11000000</v>
      </c>
      <c r="CS6" s="27">
        <f t="shared" si="14"/>
        <v>0</v>
      </c>
      <c r="CT6" s="27">
        <f t="shared" si="14"/>
        <v>0</v>
      </c>
      <c r="CU6" s="27">
        <f t="shared" si="14"/>
        <v>11000000</v>
      </c>
      <c r="CV6" s="27">
        <f t="shared" si="14"/>
        <v>0</v>
      </c>
      <c r="CW6" s="27">
        <f t="shared" si="14"/>
        <v>0</v>
      </c>
      <c r="CX6" s="27">
        <f t="shared" si="14"/>
        <v>0</v>
      </c>
      <c r="CY6" s="27">
        <f t="shared" si="14"/>
        <v>0</v>
      </c>
      <c r="CZ6" s="27">
        <f t="shared" si="15"/>
        <v>0</v>
      </c>
      <c r="DA6" s="27">
        <f t="shared" si="15"/>
        <v>0</v>
      </c>
      <c r="DB6" s="27">
        <f t="shared" si="15"/>
        <v>0</v>
      </c>
      <c r="DC6" s="27">
        <f t="shared" si="16"/>
        <v>0</v>
      </c>
      <c r="DD6" s="27">
        <f t="shared" si="16"/>
        <v>0</v>
      </c>
      <c r="DE6" s="27">
        <f t="shared" si="16"/>
        <v>0</v>
      </c>
      <c r="DF6" s="27">
        <f t="shared" si="17"/>
        <v>0</v>
      </c>
      <c r="DG6" s="27">
        <f t="shared" si="17"/>
        <v>0</v>
      </c>
      <c r="DH6" s="27">
        <f t="shared" si="17"/>
        <v>0</v>
      </c>
      <c r="DI6" s="27"/>
      <c r="DJ6" s="27">
        <f t="shared" si="18"/>
        <v>0</v>
      </c>
      <c r="DK6" s="27">
        <f t="shared" si="18"/>
        <v>0</v>
      </c>
      <c r="DL6" s="27">
        <f t="shared" si="18"/>
        <v>0</v>
      </c>
      <c r="DN6" s="193"/>
      <c r="DO6" s="193"/>
      <c r="DP6" s="193"/>
      <c r="DQ6" s="193"/>
      <c r="DR6" s="193"/>
    </row>
    <row r="7" spans="1:122" ht="53.25" hidden="1" customHeight="1" x14ac:dyDescent="0.25">
      <c r="A7" s="34"/>
      <c r="B7" s="37" t="s">
        <v>48</v>
      </c>
      <c r="C7" s="23" t="s">
        <v>49</v>
      </c>
      <c r="D7" s="24" t="s">
        <v>50</v>
      </c>
      <c r="E7" s="25">
        <v>510</v>
      </c>
      <c r="F7" s="26" t="s">
        <v>51</v>
      </c>
      <c r="G7" s="27">
        <f t="shared" si="0"/>
        <v>33576315</v>
      </c>
      <c r="H7" s="27"/>
      <c r="I7" s="27"/>
      <c r="J7" s="27">
        <f>21000000-21000000</f>
        <v>0</v>
      </c>
      <c r="K7" s="27"/>
      <c r="L7" s="27">
        <f>21000000</f>
        <v>21000000</v>
      </c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>
        <v>12576315</v>
      </c>
      <c r="AC7" s="29">
        <f t="shared" si="1"/>
        <v>5.5882100224518387E-2</v>
      </c>
      <c r="AD7" s="27">
        <f t="shared" si="2"/>
        <v>1876315</v>
      </c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>
        <f>+'[5]ENERO 2016'!$AD$520</f>
        <v>1876315</v>
      </c>
      <c r="AY7" s="29">
        <f t="shared" si="3"/>
        <v>0.94411789977548166</v>
      </c>
      <c r="AZ7" s="27">
        <f t="shared" si="4"/>
        <v>31700000</v>
      </c>
      <c r="BA7" s="27">
        <f t="shared" si="5"/>
        <v>0</v>
      </c>
      <c r="BB7" s="27">
        <f t="shared" si="5"/>
        <v>0</v>
      </c>
      <c r="BC7" s="27">
        <f t="shared" si="6"/>
        <v>0</v>
      </c>
      <c r="BD7" s="27">
        <f t="shared" si="6"/>
        <v>0</v>
      </c>
      <c r="BE7" s="27">
        <f t="shared" si="7"/>
        <v>21000000</v>
      </c>
      <c r="BF7" s="27">
        <f t="shared" si="7"/>
        <v>0</v>
      </c>
      <c r="BG7" s="27">
        <f t="shared" si="7"/>
        <v>0</v>
      </c>
      <c r="BH7" s="27">
        <f t="shared" si="7"/>
        <v>0</v>
      </c>
      <c r="BI7" s="27">
        <f t="shared" si="7"/>
        <v>0</v>
      </c>
      <c r="BJ7" s="27">
        <f t="shared" si="7"/>
        <v>0</v>
      </c>
      <c r="BK7" s="27">
        <f t="shared" si="7"/>
        <v>0</v>
      </c>
      <c r="BL7" s="27">
        <f t="shared" si="7"/>
        <v>0</v>
      </c>
      <c r="BM7" s="27">
        <f t="shared" si="7"/>
        <v>0</v>
      </c>
      <c r="BN7" s="27">
        <f t="shared" si="7"/>
        <v>0</v>
      </c>
      <c r="BO7" s="27">
        <f t="shared" si="7"/>
        <v>0</v>
      </c>
      <c r="BP7" s="27">
        <f t="shared" si="7"/>
        <v>0</v>
      </c>
      <c r="BQ7" s="27"/>
      <c r="BR7" s="27"/>
      <c r="BS7" s="27">
        <f t="shared" si="8"/>
        <v>0</v>
      </c>
      <c r="BT7" s="27">
        <f t="shared" si="9"/>
        <v>10700000</v>
      </c>
      <c r="BU7" s="29">
        <f t="shared" si="10"/>
        <v>2.3497754294954643E-2</v>
      </c>
      <c r="BV7" s="27">
        <f t="shared" si="11"/>
        <v>788968</v>
      </c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>
        <v>788968</v>
      </c>
      <c r="CQ7" s="29">
        <f t="shared" si="12"/>
        <v>0.9765022457050454</v>
      </c>
      <c r="CR7" s="27">
        <f t="shared" si="13"/>
        <v>32787347</v>
      </c>
      <c r="CS7" s="27">
        <f t="shared" si="14"/>
        <v>0</v>
      </c>
      <c r="CT7" s="27">
        <f t="shared" si="14"/>
        <v>0</v>
      </c>
      <c r="CU7" s="27">
        <f t="shared" si="14"/>
        <v>0</v>
      </c>
      <c r="CV7" s="27">
        <f t="shared" si="14"/>
        <v>0</v>
      </c>
      <c r="CW7" s="27">
        <f t="shared" si="14"/>
        <v>21000000</v>
      </c>
      <c r="CX7" s="27">
        <f t="shared" si="14"/>
        <v>0</v>
      </c>
      <c r="CY7" s="27">
        <f t="shared" si="14"/>
        <v>0</v>
      </c>
      <c r="CZ7" s="27">
        <f t="shared" si="15"/>
        <v>0</v>
      </c>
      <c r="DA7" s="27">
        <f t="shared" si="15"/>
        <v>0</v>
      </c>
      <c r="DB7" s="27">
        <f t="shared" si="15"/>
        <v>0</v>
      </c>
      <c r="DC7" s="27">
        <f t="shared" si="16"/>
        <v>0</v>
      </c>
      <c r="DD7" s="27">
        <f t="shared" si="16"/>
        <v>0</v>
      </c>
      <c r="DE7" s="27">
        <f t="shared" si="16"/>
        <v>0</v>
      </c>
      <c r="DF7" s="27">
        <f t="shared" si="17"/>
        <v>0</v>
      </c>
      <c r="DG7" s="27">
        <f t="shared" si="17"/>
        <v>0</v>
      </c>
      <c r="DH7" s="27">
        <f t="shared" si="17"/>
        <v>0</v>
      </c>
      <c r="DI7" s="27"/>
      <c r="DJ7" s="27">
        <f t="shared" si="18"/>
        <v>0</v>
      </c>
      <c r="DK7" s="27">
        <f t="shared" si="18"/>
        <v>0</v>
      </c>
      <c r="DL7" s="27">
        <f t="shared" si="18"/>
        <v>11787347</v>
      </c>
      <c r="DN7" s="193"/>
      <c r="DO7" s="193"/>
      <c r="DP7" s="193"/>
      <c r="DQ7" s="193"/>
      <c r="DR7" s="193"/>
    </row>
    <row r="8" spans="1:122" ht="54.75" hidden="1" customHeight="1" x14ac:dyDescent="0.25">
      <c r="A8" s="34"/>
      <c r="B8" s="212" t="s">
        <v>52</v>
      </c>
      <c r="C8" s="23" t="s">
        <v>53</v>
      </c>
      <c r="D8" s="24" t="s">
        <v>54</v>
      </c>
      <c r="E8" s="25">
        <v>310</v>
      </c>
      <c r="F8" s="26" t="s">
        <v>43</v>
      </c>
      <c r="G8" s="27">
        <f t="shared" si="0"/>
        <v>200000000</v>
      </c>
      <c r="H8" s="27"/>
      <c r="I8" s="27"/>
      <c r="J8" s="27">
        <f>200000000-193378600</f>
        <v>6621400</v>
      </c>
      <c r="K8" s="27"/>
      <c r="L8" s="27">
        <f>193378600</f>
        <v>193378600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C8" s="29">
        <f t="shared" si="1"/>
        <v>0.99987499999999996</v>
      </c>
      <c r="AD8" s="27">
        <f t="shared" si="2"/>
        <v>199975000</v>
      </c>
      <c r="AE8" s="27"/>
      <c r="AF8" s="27"/>
      <c r="AG8" s="27">
        <f>+'[5]ENERO 2016'!$M$109</f>
        <v>6621400</v>
      </c>
      <c r="AH8" s="27"/>
      <c r="AI8" s="27">
        <f>+'[6]FEBRERO 2016'!$O$125</f>
        <v>193353600</v>
      </c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9">
        <f t="shared" si="3"/>
        <v>1.2500000000004174E-4</v>
      </c>
      <c r="AZ8" s="27">
        <f t="shared" si="4"/>
        <v>25000</v>
      </c>
      <c r="BA8" s="27">
        <f t="shared" si="5"/>
        <v>0</v>
      </c>
      <c r="BB8" s="27">
        <f t="shared" si="5"/>
        <v>0</v>
      </c>
      <c r="BC8" s="27">
        <f t="shared" si="6"/>
        <v>0</v>
      </c>
      <c r="BD8" s="27">
        <f t="shared" si="6"/>
        <v>0</v>
      </c>
      <c r="BE8" s="27">
        <f t="shared" si="7"/>
        <v>25000</v>
      </c>
      <c r="BF8" s="27">
        <f t="shared" si="7"/>
        <v>0</v>
      </c>
      <c r="BG8" s="27">
        <f t="shared" si="7"/>
        <v>0</v>
      </c>
      <c r="BH8" s="27">
        <f t="shared" si="7"/>
        <v>0</v>
      </c>
      <c r="BI8" s="27">
        <f t="shared" si="7"/>
        <v>0</v>
      </c>
      <c r="BJ8" s="27">
        <f t="shared" si="7"/>
        <v>0</v>
      </c>
      <c r="BK8" s="27">
        <f t="shared" si="7"/>
        <v>0</v>
      </c>
      <c r="BL8" s="27">
        <f t="shared" si="7"/>
        <v>0</v>
      </c>
      <c r="BM8" s="27">
        <f t="shared" si="7"/>
        <v>0</v>
      </c>
      <c r="BN8" s="27">
        <f t="shared" si="7"/>
        <v>0</v>
      </c>
      <c r="BO8" s="27">
        <f t="shared" si="7"/>
        <v>0</v>
      </c>
      <c r="BP8" s="27">
        <f t="shared" si="7"/>
        <v>0</v>
      </c>
      <c r="BQ8" s="27"/>
      <c r="BR8" s="27"/>
      <c r="BS8" s="27">
        <f t="shared" si="8"/>
        <v>0</v>
      </c>
      <c r="BT8" s="27">
        <f t="shared" si="9"/>
        <v>0</v>
      </c>
      <c r="BU8" s="29">
        <f t="shared" si="10"/>
        <v>0.56338447000000003</v>
      </c>
      <c r="BV8" s="27">
        <f t="shared" si="11"/>
        <v>112676894</v>
      </c>
      <c r="BW8" s="27"/>
      <c r="BX8" s="27"/>
      <c r="BY8" s="27">
        <f>+'[5]ENERO 2016'!$H$107</f>
        <v>6621400</v>
      </c>
      <c r="BZ8" s="27"/>
      <c r="CA8" s="27">
        <f>+'[3]MAYO 2016'!$H$206+'[3]MAYO 2016'!$H$207+'[3]MAYO 2016'!$H$209</f>
        <v>106055494</v>
      </c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9">
        <f t="shared" si="12"/>
        <v>0.43661552999999997</v>
      </c>
      <c r="CR8" s="27">
        <f t="shared" si="13"/>
        <v>87323106</v>
      </c>
      <c r="CS8" s="27">
        <f t="shared" si="14"/>
        <v>0</v>
      </c>
      <c r="CT8" s="27">
        <f t="shared" si="14"/>
        <v>0</v>
      </c>
      <c r="CU8" s="27">
        <f t="shared" si="14"/>
        <v>0</v>
      </c>
      <c r="CV8" s="27">
        <f t="shared" si="14"/>
        <v>0</v>
      </c>
      <c r="CW8" s="27">
        <f t="shared" si="14"/>
        <v>87323106</v>
      </c>
      <c r="CX8" s="27">
        <f t="shared" si="14"/>
        <v>0</v>
      </c>
      <c r="CY8" s="27">
        <f t="shared" si="14"/>
        <v>0</v>
      </c>
      <c r="CZ8" s="27">
        <f t="shared" si="15"/>
        <v>0</v>
      </c>
      <c r="DA8" s="27">
        <f t="shared" si="15"/>
        <v>0</v>
      </c>
      <c r="DB8" s="27">
        <f t="shared" si="15"/>
        <v>0</v>
      </c>
      <c r="DC8" s="27">
        <f t="shared" si="16"/>
        <v>0</v>
      </c>
      <c r="DD8" s="27">
        <f t="shared" si="16"/>
        <v>0</v>
      </c>
      <c r="DE8" s="27">
        <f t="shared" si="16"/>
        <v>0</v>
      </c>
      <c r="DF8" s="27">
        <f t="shared" si="17"/>
        <v>0</v>
      </c>
      <c r="DG8" s="27">
        <f t="shared" si="17"/>
        <v>0</v>
      </c>
      <c r="DH8" s="27">
        <f t="shared" si="17"/>
        <v>0</v>
      </c>
      <c r="DI8" s="27"/>
      <c r="DJ8" s="27">
        <f t="shared" si="18"/>
        <v>0</v>
      </c>
      <c r="DK8" s="27">
        <f t="shared" si="18"/>
        <v>0</v>
      </c>
      <c r="DL8" s="27">
        <f t="shared" si="18"/>
        <v>0</v>
      </c>
      <c r="DN8" s="193"/>
      <c r="DO8" s="193"/>
      <c r="DP8" s="193"/>
      <c r="DQ8" s="193"/>
      <c r="DR8" s="193"/>
    </row>
    <row r="9" spans="1:122" ht="54.75" hidden="1" customHeight="1" x14ac:dyDescent="0.25">
      <c r="A9" s="34"/>
      <c r="B9" s="225"/>
      <c r="C9" s="23" t="s">
        <v>55</v>
      </c>
      <c r="D9" s="24" t="s">
        <v>56</v>
      </c>
      <c r="E9" s="25">
        <v>310</v>
      </c>
      <c r="F9" s="26" t="s">
        <v>57</v>
      </c>
      <c r="G9" s="27">
        <f t="shared" si="0"/>
        <v>532200000</v>
      </c>
      <c r="H9" s="27"/>
      <c r="I9" s="27"/>
      <c r="J9" s="27">
        <f>150000000+21000000+193378600</f>
        <v>364378600</v>
      </c>
      <c r="K9" s="27"/>
      <c r="L9" s="27">
        <f>370000000-21000000-193378600-30800000</f>
        <v>124821400</v>
      </c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>
        <f>30000000+12000000+1000000</f>
        <v>43000000</v>
      </c>
      <c r="AB9" s="38"/>
      <c r="AC9" s="29">
        <f t="shared" si="1"/>
        <v>0.23525290680195415</v>
      </c>
      <c r="AD9" s="27">
        <f t="shared" si="2"/>
        <v>125201597</v>
      </c>
      <c r="AE9" s="27"/>
      <c r="AF9" s="27"/>
      <c r="AG9" s="27">
        <f>+'[1]JUNIO 2016'!$M$264</f>
        <v>43664537</v>
      </c>
      <c r="AH9" s="27"/>
      <c r="AI9" s="27">
        <f>+'[1]JUNIO 2016'!$O$264</f>
        <v>70926559</v>
      </c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>
        <f>+'[1]JUNIO 2016'!$AG$264</f>
        <v>10610501</v>
      </c>
      <c r="AY9" s="29">
        <f t="shared" si="3"/>
        <v>0.76474709319804579</v>
      </c>
      <c r="AZ9" s="27">
        <f t="shared" si="4"/>
        <v>406998403</v>
      </c>
      <c r="BA9" s="27">
        <f t="shared" si="5"/>
        <v>0</v>
      </c>
      <c r="BB9" s="27">
        <f t="shared" si="5"/>
        <v>0</v>
      </c>
      <c r="BC9" s="27">
        <f t="shared" si="6"/>
        <v>320714063</v>
      </c>
      <c r="BD9" s="27">
        <f t="shared" si="6"/>
        <v>0</v>
      </c>
      <c r="BE9" s="27">
        <f t="shared" si="7"/>
        <v>53894841</v>
      </c>
      <c r="BF9" s="27">
        <f t="shared" si="7"/>
        <v>0</v>
      </c>
      <c r="BG9" s="27">
        <f t="shared" si="7"/>
        <v>0</v>
      </c>
      <c r="BH9" s="27">
        <f t="shared" si="7"/>
        <v>0</v>
      </c>
      <c r="BI9" s="27">
        <f t="shared" si="7"/>
        <v>0</v>
      </c>
      <c r="BJ9" s="27">
        <f t="shared" si="7"/>
        <v>0</v>
      </c>
      <c r="BK9" s="27">
        <f t="shared" si="7"/>
        <v>0</v>
      </c>
      <c r="BL9" s="27">
        <f t="shared" si="7"/>
        <v>0</v>
      </c>
      <c r="BM9" s="27">
        <f t="shared" si="7"/>
        <v>0</v>
      </c>
      <c r="BN9" s="27">
        <f t="shared" si="7"/>
        <v>0</v>
      </c>
      <c r="BO9" s="27">
        <f t="shared" si="7"/>
        <v>0</v>
      </c>
      <c r="BP9" s="27">
        <f t="shared" si="7"/>
        <v>0</v>
      </c>
      <c r="BQ9" s="27"/>
      <c r="BR9" s="27"/>
      <c r="BS9" s="27">
        <f t="shared" si="8"/>
        <v>0</v>
      </c>
      <c r="BT9" s="27">
        <f t="shared" si="9"/>
        <v>32389499</v>
      </c>
      <c r="BU9" s="29">
        <f t="shared" si="10"/>
        <v>0.23514831454340474</v>
      </c>
      <c r="BV9" s="27">
        <f t="shared" si="11"/>
        <v>125145933</v>
      </c>
      <c r="BW9" s="27"/>
      <c r="BX9" s="27"/>
      <c r="BY9" s="27">
        <f>+'[1]JUNIO 2016'!$M$264</f>
        <v>43664537</v>
      </c>
      <c r="BZ9" s="27"/>
      <c r="CA9" s="27">
        <f>+'[1]JUNIO 2016'!$O$264</f>
        <v>70926559</v>
      </c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>
        <f>+'[1]JUNIO 2016'!$H$333+'[1]JUNIO 2016'!$H$359+'[1]JUNIO 2016'!$H$363+'[1]JUNIO 2016'!$H$366+'[1]JUNIO 2016'!$H$374+'[1]JUNIO 2016'!$H$382+'[1]JUNIO 2016'!$H$384</f>
        <v>10554837</v>
      </c>
      <c r="CQ9" s="29">
        <f t="shared" si="12"/>
        <v>0.76485168545659521</v>
      </c>
      <c r="CR9" s="27">
        <f t="shared" si="13"/>
        <v>407054067</v>
      </c>
      <c r="CS9" s="27">
        <f t="shared" si="14"/>
        <v>0</v>
      </c>
      <c r="CT9" s="27">
        <f t="shared" si="14"/>
        <v>0</v>
      </c>
      <c r="CU9" s="27">
        <f t="shared" si="14"/>
        <v>320714063</v>
      </c>
      <c r="CV9" s="27">
        <f t="shared" si="14"/>
        <v>0</v>
      </c>
      <c r="CW9" s="27">
        <f t="shared" si="14"/>
        <v>53894841</v>
      </c>
      <c r="CX9" s="27">
        <f t="shared" si="14"/>
        <v>0</v>
      </c>
      <c r="CY9" s="27">
        <f t="shared" si="14"/>
        <v>0</v>
      </c>
      <c r="CZ9" s="27">
        <f t="shared" si="15"/>
        <v>0</v>
      </c>
      <c r="DA9" s="27">
        <f t="shared" si="15"/>
        <v>0</v>
      </c>
      <c r="DB9" s="27">
        <f t="shared" si="15"/>
        <v>0</v>
      </c>
      <c r="DC9" s="27">
        <f t="shared" si="16"/>
        <v>0</v>
      </c>
      <c r="DD9" s="27">
        <f t="shared" si="16"/>
        <v>0</v>
      </c>
      <c r="DE9" s="27">
        <f t="shared" si="16"/>
        <v>0</v>
      </c>
      <c r="DF9" s="27">
        <f t="shared" si="17"/>
        <v>0</v>
      </c>
      <c r="DG9" s="27">
        <f t="shared" si="17"/>
        <v>0</v>
      </c>
      <c r="DH9" s="27">
        <f t="shared" si="17"/>
        <v>0</v>
      </c>
      <c r="DI9" s="27"/>
      <c r="DJ9" s="27">
        <f t="shared" si="18"/>
        <v>0</v>
      </c>
      <c r="DK9" s="27">
        <f t="shared" si="18"/>
        <v>0</v>
      </c>
      <c r="DL9" s="27">
        <f t="shared" si="18"/>
        <v>32445163</v>
      </c>
      <c r="DN9" s="193"/>
      <c r="DO9" s="193"/>
      <c r="DP9" s="193"/>
      <c r="DQ9" s="193"/>
      <c r="DR9" s="193"/>
    </row>
    <row r="10" spans="1:122" ht="30.75" hidden="1" customHeight="1" x14ac:dyDescent="0.25">
      <c r="A10" s="34"/>
      <c r="B10" s="225"/>
      <c r="C10" s="23" t="s">
        <v>58</v>
      </c>
      <c r="D10" s="24" t="s">
        <v>59</v>
      </c>
      <c r="E10" s="25">
        <v>310</v>
      </c>
      <c r="F10" s="26" t="s">
        <v>43</v>
      </c>
      <c r="G10" s="27">
        <f t="shared" si="0"/>
        <v>15000000</v>
      </c>
      <c r="H10" s="27"/>
      <c r="I10" s="27"/>
      <c r="J10" s="27"/>
      <c r="K10" s="27"/>
      <c r="L10" s="27">
        <v>15000000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38"/>
      <c r="AC10" s="29">
        <f t="shared" si="1"/>
        <v>1</v>
      </c>
      <c r="AD10" s="27">
        <f t="shared" si="2"/>
        <v>15000000</v>
      </c>
      <c r="AE10" s="27"/>
      <c r="AF10" s="27"/>
      <c r="AG10" s="27"/>
      <c r="AH10" s="27"/>
      <c r="AI10" s="27">
        <f>+'[1]JUNIO 2016'!$O$388</f>
        <v>15000000</v>
      </c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9">
        <f t="shared" si="3"/>
        <v>0</v>
      </c>
      <c r="AZ10" s="27">
        <f t="shared" si="4"/>
        <v>0</v>
      </c>
      <c r="BA10" s="27">
        <f t="shared" si="5"/>
        <v>0</v>
      </c>
      <c r="BB10" s="27">
        <f t="shared" ref="BB10:BB16" si="19">I10-AF10</f>
        <v>0</v>
      </c>
      <c r="BC10" s="27">
        <f t="shared" si="6"/>
        <v>0</v>
      </c>
      <c r="BD10" s="27">
        <f t="shared" si="6"/>
        <v>0</v>
      </c>
      <c r="BE10" s="27">
        <f t="shared" si="7"/>
        <v>0</v>
      </c>
      <c r="BF10" s="27">
        <f t="shared" si="7"/>
        <v>0</v>
      </c>
      <c r="BG10" s="27">
        <f t="shared" si="7"/>
        <v>0</v>
      </c>
      <c r="BH10" s="27">
        <f t="shared" si="7"/>
        <v>0</v>
      </c>
      <c r="BI10" s="27">
        <f t="shared" si="7"/>
        <v>0</v>
      </c>
      <c r="BJ10" s="27">
        <f t="shared" si="7"/>
        <v>0</v>
      </c>
      <c r="BK10" s="27">
        <f t="shared" si="7"/>
        <v>0</v>
      </c>
      <c r="BL10" s="27">
        <f t="shared" si="7"/>
        <v>0</v>
      </c>
      <c r="BM10" s="27">
        <f t="shared" si="7"/>
        <v>0</v>
      </c>
      <c r="BN10" s="27">
        <f t="shared" si="7"/>
        <v>0</v>
      </c>
      <c r="BO10" s="27">
        <f t="shared" si="7"/>
        <v>0</v>
      </c>
      <c r="BP10" s="27">
        <f t="shared" si="7"/>
        <v>0</v>
      </c>
      <c r="BQ10" s="27"/>
      <c r="BR10" s="27"/>
      <c r="BS10" s="27">
        <f t="shared" si="8"/>
        <v>0</v>
      </c>
      <c r="BT10" s="27">
        <f t="shared" si="9"/>
        <v>0</v>
      </c>
      <c r="BU10" s="29">
        <f t="shared" si="10"/>
        <v>0</v>
      </c>
      <c r="BV10" s="27">
        <f t="shared" si="11"/>
        <v>0</v>
      </c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9">
        <f t="shared" si="12"/>
        <v>1</v>
      </c>
      <c r="CR10" s="27">
        <f t="shared" si="13"/>
        <v>15000000</v>
      </c>
      <c r="CS10" s="27">
        <f t="shared" si="14"/>
        <v>0</v>
      </c>
      <c r="CT10" s="27">
        <f t="shared" si="14"/>
        <v>0</v>
      </c>
      <c r="CU10" s="27">
        <f t="shared" si="14"/>
        <v>0</v>
      </c>
      <c r="CV10" s="27">
        <f t="shared" si="14"/>
        <v>0</v>
      </c>
      <c r="CW10" s="27">
        <f t="shared" si="14"/>
        <v>15000000</v>
      </c>
      <c r="CX10" s="27">
        <f t="shared" si="14"/>
        <v>0</v>
      </c>
      <c r="CY10" s="27">
        <f t="shared" si="14"/>
        <v>0</v>
      </c>
      <c r="CZ10" s="27">
        <f t="shared" si="15"/>
        <v>0</v>
      </c>
      <c r="DA10" s="27">
        <f t="shared" si="15"/>
        <v>0</v>
      </c>
      <c r="DB10" s="27">
        <f t="shared" si="15"/>
        <v>0</v>
      </c>
      <c r="DC10" s="27">
        <f t="shared" si="16"/>
        <v>0</v>
      </c>
      <c r="DD10" s="27">
        <f t="shared" si="16"/>
        <v>0</v>
      </c>
      <c r="DE10" s="27">
        <f t="shared" si="16"/>
        <v>0</v>
      </c>
      <c r="DF10" s="27">
        <f t="shared" si="17"/>
        <v>0</v>
      </c>
      <c r="DG10" s="27">
        <f t="shared" si="17"/>
        <v>0</v>
      </c>
      <c r="DH10" s="27">
        <f t="shared" si="17"/>
        <v>0</v>
      </c>
      <c r="DI10" s="27"/>
      <c r="DJ10" s="27">
        <f t="shared" si="18"/>
        <v>0</v>
      </c>
      <c r="DK10" s="27">
        <f t="shared" si="18"/>
        <v>0</v>
      </c>
      <c r="DL10" s="27">
        <f t="shared" si="18"/>
        <v>0</v>
      </c>
      <c r="DN10" s="193"/>
      <c r="DO10" s="193"/>
      <c r="DP10" s="193"/>
      <c r="DQ10" s="193"/>
      <c r="DR10" s="193"/>
    </row>
    <row r="11" spans="1:122" ht="30" hidden="1" x14ac:dyDescent="0.25">
      <c r="A11" s="34"/>
      <c r="B11" s="225"/>
      <c r="C11" s="23" t="s">
        <v>60</v>
      </c>
      <c r="D11" s="24" t="s">
        <v>61</v>
      </c>
      <c r="E11" s="25">
        <v>310</v>
      </c>
      <c r="F11" s="26" t="s">
        <v>43</v>
      </c>
      <c r="G11" s="27">
        <f t="shared" si="0"/>
        <v>50000000</v>
      </c>
      <c r="H11" s="27"/>
      <c r="I11" s="39"/>
      <c r="J11" s="27">
        <v>50000000</v>
      </c>
      <c r="K11" s="39"/>
      <c r="L11" s="39"/>
      <c r="M11" s="27"/>
      <c r="N11" s="39"/>
      <c r="O11" s="32"/>
      <c r="P11" s="32"/>
      <c r="Q11" s="32"/>
      <c r="R11" s="32"/>
      <c r="S11" s="32"/>
      <c r="T11" s="32"/>
      <c r="U11" s="27"/>
      <c r="V11" s="32"/>
      <c r="W11" s="32"/>
      <c r="X11" s="32"/>
      <c r="Y11" s="32"/>
      <c r="Z11" s="32"/>
      <c r="AA11" s="39"/>
      <c r="AB11" s="38"/>
      <c r="AC11" s="29">
        <f t="shared" si="1"/>
        <v>0</v>
      </c>
      <c r="AD11" s="27">
        <f t="shared" si="2"/>
        <v>0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9">
        <f t="shared" si="3"/>
        <v>1</v>
      </c>
      <c r="AZ11" s="27">
        <f t="shared" si="4"/>
        <v>50000000</v>
      </c>
      <c r="BA11" s="27">
        <f t="shared" si="5"/>
        <v>0</v>
      </c>
      <c r="BB11" s="27">
        <f t="shared" si="19"/>
        <v>0</v>
      </c>
      <c r="BC11" s="27">
        <f t="shared" si="6"/>
        <v>50000000</v>
      </c>
      <c r="BD11" s="27">
        <f t="shared" si="6"/>
        <v>0</v>
      </c>
      <c r="BE11" s="27">
        <f t="shared" si="7"/>
        <v>0</v>
      </c>
      <c r="BF11" s="27">
        <f t="shared" si="7"/>
        <v>0</v>
      </c>
      <c r="BG11" s="27">
        <f t="shared" si="7"/>
        <v>0</v>
      </c>
      <c r="BH11" s="27">
        <f t="shared" si="7"/>
        <v>0</v>
      </c>
      <c r="BI11" s="27">
        <f t="shared" si="7"/>
        <v>0</v>
      </c>
      <c r="BJ11" s="27">
        <f t="shared" si="7"/>
        <v>0</v>
      </c>
      <c r="BK11" s="27">
        <f t="shared" si="7"/>
        <v>0</v>
      </c>
      <c r="BL11" s="27">
        <f t="shared" si="7"/>
        <v>0</v>
      </c>
      <c r="BM11" s="27">
        <f t="shared" si="7"/>
        <v>0</v>
      </c>
      <c r="BN11" s="27">
        <f t="shared" si="7"/>
        <v>0</v>
      </c>
      <c r="BO11" s="27">
        <f t="shared" si="7"/>
        <v>0</v>
      </c>
      <c r="BP11" s="27">
        <f t="shared" si="7"/>
        <v>0</v>
      </c>
      <c r="BQ11" s="27"/>
      <c r="BR11" s="27"/>
      <c r="BS11" s="27">
        <f t="shared" si="8"/>
        <v>0</v>
      </c>
      <c r="BT11" s="27">
        <f t="shared" si="9"/>
        <v>0</v>
      </c>
      <c r="BU11" s="29">
        <f t="shared" si="10"/>
        <v>0</v>
      </c>
      <c r="BV11" s="27">
        <f t="shared" si="11"/>
        <v>0</v>
      </c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9">
        <f t="shared" si="12"/>
        <v>1</v>
      </c>
      <c r="CR11" s="27">
        <f t="shared" si="13"/>
        <v>50000000</v>
      </c>
      <c r="CS11" s="27">
        <f t="shared" si="14"/>
        <v>0</v>
      </c>
      <c r="CT11" s="27">
        <f t="shared" si="14"/>
        <v>0</v>
      </c>
      <c r="CU11" s="27">
        <f t="shared" si="14"/>
        <v>50000000</v>
      </c>
      <c r="CV11" s="27">
        <f t="shared" si="14"/>
        <v>0</v>
      </c>
      <c r="CW11" s="27">
        <f t="shared" si="14"/>
        <v>0</v>
      </c>
      <c r="CX11" s="27">
        <f t="shared" si="14"/>
        <v>0</v>
      </c>
      <c r="CY11" s="27">
        <f t="shared" si="14"/>
        <v>0</v>
      </c>
      <c r="CZ11" s="27">
        <f t="shared" si="15"/>
        <v>0</v>
      </c>
      <c r="DA11" s="27">
        <f t="shared" si="15"/>
        <v>0</v>
      </c>
      <c r="DB11" s="27">
        <f t="shared" si="15"/>
        <v>0</v>
      </c>
      <c r="DC11" s="27">
        <f t="shared" si="16"/>
        <v>0</v>
      </c>
      <c r="DD11" s="27">
        <f t="shared" si="16"/>
        <v>0</v>
      </c>
      <c r="DE11" s="27">
        <f t="shared" si="16"/>
        <v>0</v>
      </c>
      <c r="DF11" s="27">
        <f t="shared" si="17"/>
        <v>0</v>
      </c>
      <c r="DG11" s="27">
        <f t="shared" si="17"/>
        <v>0</v>
      </c>
      <c r="DH11" s="27">
        <f t="shared" si="17"/>
        <v>0</v>
      </c>
      <c r="DI11" s="27"/>
      <c r="DJ11" s="27">
        <f t="shared" si="18"/>
        <v>0</v>
      </c>
      <c r="DK11" s="27">
        <f t="shared" si="18"/>
        <v>0</v>
      </c>
      <c r="DL11" s="27">
        <f t="shared" si="18"/>
        <v>0</v>
      </c>
      <c r="DN11" s="193"/>
      <c r="DO11" s="193"/>
      <c r="DP11" s="193"/>
      <c r="DQ11" s="193"/>
      <c r="DR11" s="193"/>
    </row>
    <row r="12" spans="1:122" ht="24.75" hidden="1" customHeight="1" x14ac:dyDescent="0.25">
      <c r="A12" s="34"/>
      <c r="B12" s="213"/>
      <c r="C12" s="23" t="s">
        <v>62</v>
      </c>
      <c r="D12" s="24" t="s">
        <v>63</v>
      </c>
      <c r="E12" s="25">
        <v>310</v>
      </c>
      <c r="F12" s="26" t="s">
        <v>43</v>
      </c>
      <c r="G12" s="27">
        <f t="shared" si="0"/>
        <v>10000000</v>
      </c>
      <c r="H12" s="27"/>
      <c r="I12" s="39"/>
      <c r="J12" s="27"/>
      <c r="K12" s="39"/>
      <c r="L12" s="27">
        <v>10000000</v>
      </c>
      <c r="M12" s="27"/>
      <c r="N12" s="39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9"/>
      <c r="AB12" s="38"/>
      <c r="AC12" s="29">
        <f t="shared" si="1"/>
        <v>1</v>
      </c>
      <c r="AD12" s="27">
        <f t="shared" si="2"/>
        <v>10000000</v>
      </c>
      <c r="AE12" s="27"/>
      <c r="AF12" s="27"/>
      <c r="AG12" s="27"/>
      <c r="AH12" s="27"/>
      <c r="AI12" s="27">
        <f>+'[1]JUNIO 2016'!$O$399</f>
        <v>10000000</v>
      </c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9">
        <f t="shared" si="3"/>
        <v>0</v>
      </c>
      <c r="AZ12" s="27">
        <f t="shared" si="4"/>
        <v>0</v>
      </c>
      <c r="BA12" s="27">
        <f t="shared" si="5"/>
        <v>0</v>
      </c>
      <c r="BB12" s="27">
        <f t="shared" si="19"/>
        <v>0</v>
      </c>
      <c r="BC12" s="27">
        <f t="shared" si="6"/>
        <v>0</v>
      </c>
      <c r="BD12" s="27">
        <f t="shared" si="6"/>
        <v>0</v>
      </c>
      <c r="BE12" s="27">
        <f t="shared" si="7"/>
        <v>0</v>
      </c>
      <c r="BF12" s="27">
        <f t="shared" si="7"/>
        <v>0</v>
      </c>
      <c r="BG12" s="27">
        <f t="shared" si="7"/>
        <v>0</v>
      </c>
      <c r="BH12" s="27">
        <f t="shared" si="7"/>
        <v>0</v>
      </c>
      <c r="BI12" s="27">
        <f t="shared" si="7"/>
        <v>0</v>
      </c>
      <c r="BJ12" s="27">
        <f t="shared" si="7"/>
        <v>0</v>
      </c>
      <c r="BK12" s="27">
        <f t="shared" si="7"/>
        <v>0</v>
      </c>
      <c r="BL12" s="27">
        <f t="shared" si="7"/>
        <v>0</v>
      </c>
      <c r="BM12" s="27">
        <f t="shared" si="7"/>
        <v>0</v>
      </c>
      <c r="BN12" s="27">
        <f t="shared" si="7"/>
        <v>0</v>
      </c>
      <c r="BO12" s="27">
        <f t="shared" si="7"/>
        <v>0</v>
      </c>
      <c r="BP12" s="27">
        <f t="shared" si="7"/>
        <v>0</v>
      </c>
      <c r="BQ12" s="27"/>
      <c r="BR12" s="27"/>
      <c r="BS12" s="27">
        <f t="shared" si="8"/>
        <v>0</v>
      </c>
      <c r="BT12" s="27">
        <f t="shared" si="9"/>
        <v>0</v>
      </c>
      <c r="BU12" s="29">
        <f t="shared" si="10"/>
        <v>0</v>
      </c>
      <c r="BV12" s="27">
        <f t="shared" si="11"/>
        <v>0</v>
      </c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9">
        <f t="shared" si="12"/>
        <v>1</v>
      </c>
      <c r="CR12" s="27">
        <f t="shared" si="13"/>
        <v>10000000</v>
      </c>
      <c r="CS12" s="27">
        <f t="shared" si="14"/>
        <v>0</v>
      </c>
      <c r="CT12" s="27">
        <f t="shared" si="14"/>
        <v>0</v>
      </c>
      <c r="CU12" s="27">
        <f t="shared" si="14"/>
        <v>0</v>
      </c>
      <c r="CV12" s="27">
        <f t="shared" si="14"/>
        <v>0</v>
      </c>
      <c r="CW12" s="27">
        <f t="shared" si="14"/>
        <v>10000000</v>
      </c>
      <c r="CX12" s="27">
        <f t="shared" si="14"/>
        <v>0</v>
      </c>
      <c r="CY12" s="27">
        <f t="shared" si="14"/>
        <v>0</v>
      </c>
      <c r="CZ12" s="27">
        <f t="shared" si="15"/>
        <v>0</v>
      </c>
      <c r="DA12" s="27">
        <f t="shared" si="15"/>
        <v>0</v>
      </c>
      <c r="DB12" s="27">
        <f t="shared" si="15"/>
        <v>0</v>
      </c>
      <c r="DC12" s="27">
        <f t="shared" si="16"/>
        <v>0</v>
      </c>
      <c r="DD12" s="27">
        <f t="shared" si="16"/>
        <v>0</v>
      </c>
      <c r="DE12" s="27">
        <f t="shared" si="16"/>
        <v>0</v>
      </c>
      <c r="DF12" s="27">
        <f t="shared" si="17"/>
        <v>0</v>
      </c>
      <c r="DG12" s="27">
        <f t="shared" si="17"/>
        <v>0</v>
      </c>
      <c r="DH12" s="27">
        <f t="shared" si="17"/>
        <v>0</v>
      </c>
      <c r="DI12" s="27"/>
      <c r="DJ12" s="27">
        <f t="shared" si="18"/>
        <v>0</v>
      </c>
      <c r="DK12" s="27">
        <f t="shared" si="18"/>
        <v>0</v>
      </c>
      <c r="DL12" s="27">
        <f t="shared" si="18"/>
        <v>0</v>
      </c>
      <c r="DN12" s="193"/>
      <c r="DO12" s="193"/>
      <c r="DP12" s="193"/>
      <c r="DQ12" s="193"/>
      <c r="DR12" s="193"/>
    </row>
    <row r="13" spans="1:122" ht="64.5" hidden="1" customHeight="1" x14ac:dyDescent="0.25">
      <c r="A13" s="34"/>
      <c r="B13" s="37" t="s">
        <v>64</v>
      </c>
      <c r="C13" s="23" t="s">
        <v>65</v>
      </c>
      <c r="D13" s="24" t="s">
        <v>66</v>
      </c>
      <c r="E13" s="25">
        <v>510</v>
      </c>
      <c r="F13" s="26" t="s">
        <v>67</v>
      </c>
      <c r="G13" s="27">
        <f t="shared" si="0"/>
        <v>228854662</v>
      </c>
      <c r="H13" s="27"/>
      <c r="I13" s="27"/>
      <c r="J13" s="27"/>
      <c r="K13" s="27"/>
      <c r="L13" s="27">
        <v>160000000</v>
      </c>
      <c r="M13" s="27">
        <v>14004396</v>
      </c>
      <c r="N13" s="27"/>
      <c r="O13" s="27"/>
      <c r="P13" s="27"/>
      <c r="Q13" s="27"/>
      <c r="R13" s="27"/>
      <c r="S13" s="27"/>
      <c r="T13" s="27"/>
      <c r="U13" s="27">
        <v>1796640</v>
      </c>
      <c r="V13" s="27"/>
      <c r="W13" s="27"/>
      <c r="X13" s="27"/>
      <c r="Y13" s="27"/>
      <c r="Z13" s="27"/>
      <c r="AA13" s="27">
        <f>48000000+2053626+3000000</f>
        <v>53053626</v>
      </c>
      <c r="AC13" s="29">
        <f t="shared" si="1"/>
        <v>0.96378017416136363</v>
      </c>
      <c r="AD13" s="27">
        <f t="shared" si="2"/>
        <v>220565586</v>
      </c>
      <c r="AE13" s="27"/>
      <c r="AF13" s="27"/>
      <c r="AG13" s="27"/>
      <c r="AH13" s="27"/>
      <c r="AI13" s="27">
        <v>160000000</v>
      </c>
      <c r="AJ13" s="27">
        <f>+'[6]FEBRERO 2016'!$P$697</f>
        <v>14004396</v>
      </c>
      <c r="AK13" s="27"/>
      <c r="AL13" s="27"/>
      <c r="AM13" s="27"/>
      <c r="AN13" s="27"/>
      <c r="AO13" s="27"/>
      <c r="AP13" s="27"/>
      <c r="AQ13" s="27"/>
      <c r="AR13" s="27">
        <f>+'[6]FEBRERO 2016'!$X$699</f>
        <v>1796640</v>
      </c>
      <c r="AS13" s="27"/>
      <c r="AT13" s="27"/>
      <c r="AU13" s="27"/>
      <c r="AV13" s="27"/>
      <c r="AW13" s="27"/>
      <c r="AX13" s="27">
        <f>+'[4]ABRIL 2016'!$AG$1142</f>
        <v>44764550</v>
      </c>
      <c r="AY13" s="29">
        <f t="shared" si="3"/>
        <v>3.6219825838636366E-2</v>
      </c>
      <c r="AZ13" s="27">
        <f t="shared" si="4"/>
        <v>8289076</v>
      </c>
      <c r="BA13" s="27">
        <f t="shared" si="5"/>
        <v>0</v>
      </c>
      <c r="BB13" s="27">
        <f t="shared" si="19"/>
        <v>0</v>
      </c>
      <c r="BC13" s="27">
        <f t="shared" si="6"/>
        <v>0</v>
      </c>
      <c r="BD13" s="27">
        <f t="shared" si="6"/>
        <v>0</v>
      </c>
      <c r="BE13" s="27">
        <f t="shared" si="7"/>
        <v>0</v>
      </c>
      <c r="BF13" s="27">
        <f t="shared" si="7"/>
        <v>0</v>
      </c>
      <c r="BG13" s="27">
        <f t="shared" si="7"/>
        <v>0</v>
      </c>
      <c r="BH13" s="27">
        <f t="shared" si="7"/>
        <v>0</v>
      </c>
      <c r="BI13" s="27">
        <f t="shared" si="7"/>
        <v>0</v>
      </c>
      <c r="BJ13" s="27">
        <f t="shared" si="7"/>
        <v>0</v>
      </c>
      <c r="BK13" s="27">
        <f t="shared" si="7"/>
        <v>0</v>
      </c>
      <c r="BL13" s="27">
        <f t="shared" si="7"/>
        <v>0</v>
      </c>
      <c r="BM13" s="27">
        <f t="shared" si="7"/>
        <v>0</v>
      </c>
      <c r="BN13" s="27">
        <f t="shared" si="7"/>
        <v>0</v>
      </c>
      <c r="BO13" s="27">
        <f t="shared" si="7"/>
        <v>0</v>
      </c>
      <c r="BP13" s="27">
        <f t="shared" si="7"/>
        <v>0</v>
      </c>
      <c r="BQ13" s="27"/>
      <c r="BR13" s="27"/>
      <c r="BS13" s="27">
        <f t="shared" si="8"/>
        <v>0</v>
      </c>
      <c r="BT13" s="27">
        <f t="shared" si="9"/>
        <v>8289076</v>
      </c>
      <c r="BU13" s="29">
        <f t="shared" si="10"/>
        <v>0.8894811939640539</v>
      </c>
      <c r="BV13" s="27">
        <f t="shared" si="11"/>
        <v>203561918</v>
      </c>
      <c r="BW13" s="27"/>
      <c r="BX13" s="27"/>
      <c r="BY13" s="27"/>
      <c r="BZ13" s="27"/>
      <c r="CA13" s="27">
        <f>+'[1]JUNIO 2016'!$H$1519+'[1]JUNIO 2016'!$H$1521+'[1]JUNIO 2016'!$H$1523+'[1]JUNIO 2016'!$H$1525+'[1]JUNIO 2016'!$H$1531+'[1]JUNIO 2016'!$H$1533+'[1]JUNIO 2016'!$H$1547+'[1]JUNIO 2016'!$H$1564</f>
        <v>143458824</v>
      </c>
      <c r="CB13" s="27">
        <f>+'[3]MAYO 2016'!$H$1359</f>
        <v>14004396</v>
      </c>
      <c r="CC13" s="27"/>
      <c r="CD13" s="27"/>
      <c r="CE13" s="27"/>
      <c r="CF13" s="27"/>
      <c r="CG13" s="27"/>
      <c r="CH13" s="27"/>
      <c r="CI13" s="27"/>
      <c r="CJ13" s="27">
        <f>+'[3]MAYO 2016'!$H$1361</f>
        <v>1796640</v>
      </c>
      <c r="CK13" s="27"/>
      <c r="CL13" s="27"/>
      <c r="CM13" s="27"/>
      <c r="CN13" s="27"/>
      <c r="CO13" s="27"/>
      <c r="CP13" s="27">
        <f>+'[3]MAYO 2016'!$H$1325+'[3]MAYO 2016'!$H$1333+'[3]MAYO 2016'!$H$1336+'[3]MAYO 2016'!$H$1340+'[3]MAYO 2016'!$H$1342+'[3]MAYO 2016'!$H$1344+'[3]MAYO 2016'!$H$1354+'[3]MAYO 2016'!$H$1355+'[3]MAYO 2016'!$H$1363+'[3]MAYO 2016'!$H$1366+'[3]MAYO 2016'!$H$1367</f>
        <v>44302058</v>
      </c>
      <c r="CQ13" s="29">
        <f t="shared" si="12"/>
        <v>0.1105188060359461</v>
      </c>
      <c r="CR13" s="27">
        <f t="shared" si="13"/>
        <v>25292744</v>
      </c>
      <c r="CS13" s="27">
        <f t="shared" si="14"/>
        <v>0</v>
      </c>
      <c r="CT13" s="27">
        <f t="shared" si="14"/>
        <v>0</v>
      </c>
      <c r="CU13" s="27">
        <f t="shared" si="14"/>
        <v>0</v>
      </c>
      <c r="CV13" s="27">
        <f t="shared" si="14"/>
        <v>0</v>
      </c>
      <c r="CW13" s="27">
        <f t="shared" si="14"/>
        <v>16541176</v>
      </c>
      <c r="CX13" s="27">
        <f t="shared" si="14"/>
        <v>0</v>
      </c>
      <c r="CY13" s="27">
        <f t="shared" si="14"/>
        <v>0</v>
      </c>
      <c r="CZ13" s="27">
        <f t="shared" si="15"/>
        <v>0</v>
      </c>
      <c r="DA13" s="27">
        <f t="shared" si="15"/>
        <v>0</v>
      </c>
      <c r="DB13" s="27">
        <f t="shared" si="15"/>
        <v>0</v>
      </c>
      <c r="DC13" s="27">
        <f t="shared" si="16"/>
        <v>0</v>
      </c>
      <c r="DD13" s="27">
        <f t="shared" si="16"/>
        <v>0</v>
      </c>
      <c r="DE13" s="27">
        <f t="shared" si="16"/>
        <v>0</v>
      </c>
      <c r="DF13" s="27">
        <f t="shared" si="17"/>
        <v>0</v>
      </c>
      <c r="DG13" s="27">
        <f t="shared" si="17"/>
        <v>0</v>
      </c>
      <c r="DH13" s="27">
        <f t="shared" si="17"/>
        <v>0</v>
      </c>
      <c r="DI13" s="27"/>
      <c r="DJ13" s="27">
        <f t="shared" si="18"/>
        <v>0</v>
      </c>
      <c r="DK13" s="27">
        <f t="shared" si="18"/>
        <v>0</v>
      </c>
      <c r="DL13" s="27">
        <f t="shared" si="18"/>
        <v>8751568</v>
      </c>
      <c r="DN13" s="193"/>
      <c r="DO13" s="193"/>
      <c r="DP13" s="193"/>
      <c r="DQ13" s="193"/>
      <c r="DR13" s="193"/>
    </row>
    <row r="14" spans="1:122" ht="36" hidden="1" customHeight="1" x14ac:dyDescent="0.25">
      <c r="A14" s="34"/>
      <c r="B14" s="212" t="s">
        <v>68</v>
      </c>
      <c r="C14" s="23" t="s">
        <v>69</v>
      </c>
      <c r="D14" s="24" t="s">
        <v>70</v>
      </c>
      <c r="E14" s="25">
        <v>510</v>
      </c>
      <c r="F14" s="26" t="s">
        <v>43</v>
      </c>
      <c r="G14" s="27">
        <f t="shared" si="0"/>
        <v>65000000</v>
      </c>
      <c r="H14" s="27"/>
      <c r="I14" s="27"/>
      <c r="J14" s="27"/>
      <c r="K14" s="27"/>
      <c r="L14" s="27">
        <v>65000000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C14" s="29">
        <f t="shared" si="1"/>
        <v>0.75118858461538462</v>
      </c>
      <c r="AD14" s="27">
        <f t="shared" si="2"/>
        <v>48827258</v>
      </c>
      <c r="AE14" s="27"/>
      <c r="AF14" s="27"/>
      <c r="AG14" s="27"/>
      <c r="AH14" s="27"/>
      <c r="AI14" s="27">
        <f>+'[1]JUNIO 2016'!$G$1577</f>
        <v>48827258</v>
      </c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9">
        <f t="shared" si="3"/>
        <v>0.24881141538461538</v>
      </c>
      <c r="AZ14" s="27">
        <f t="shared" si="4"/>
        <v>16172742</v>
      </c>
      <c r="BA14" s="27">
        <f t="shared" si="5"/>
        <v>0</v>
      </c>
      <c r="BB14" s="27">
        <f t="shared" si="19"/>
        <v>0</v>
      </c>
      <c r="BC14" s="27">
        <f t="shared" si="6"/>
        <v>0</v>
      </c>
      <c r="BD14" s="27">
        <f t="shared" si="6"/>
        <v>0</v>
      </c>
      <c r="BE14" s="27">
        <f t="shared" si="7"/>
        <v>16172742</v>
      </c>
      <c r="BF14" s="27">
        <f t="shared" si="7"/>
        <v>0</v>
      </c>
      <c r="BG14" s="27">
        <f t="shared" si="7"/>
        <v>0</v>
      </c>
      <c r="BH14" s="27">
        <f t="shared" si="7"/>
        <v>0</v>
      </c>
      <c r="BI14" s="27">
        <f t="shared" si="7"/>
        <v>0</v>
      </c>
      <c r="BJ14" s="27">
        <f t="shared" si="7"/>
        <v>0</v>
      </c>
      <c r="BK14" s="27">
        <f t="shared" si="7"/>
        <v>0</v>
      </c>
      <c r="BL14" s="27">
        <f t="shared" si="7"/>
        <v>0</v>
      </c>
      <c r="BM14" s="27">
        <f t="shared" si="7"/>
        <v>0</v>
      </c>
      <c r="BN14" s="27">
        <f t="shared" si="7"/>
        <v>0</v>
      </c>
      <c r="BO14" s="27">
        <f t="shared" si="7"/>
        <v>0</v>
      </c>
      <c r="BP14" s="27">
        <f t="shared" si="7"/>
        <v>0</v>
      </c>
      <c r="BQ14" s="27"/>
      <c r="BR14" s="27">
        <f>+Y14-AV14</f>
        <v>0</v>
      </c>
      <c r="BS14" s="27">
        <f t="shared" si="8"/>
        <v>0</v>
      </c>
      <c r="BT14" s="27">
        <f t="shared" si="9"/>
        <v>0</v>
      </c>
      <c r="BU14" s="29">
        <f t="shared" si="10"/>
        <v>0.68972375384615381</v>
      </c>
      <c r="BV14" s="27">
        <f t="shared" si="11"/>
        <v>44832044</v>
      </c>
      <c r="BW14" s="27"/>
      <c r="BX14" s="27"/>
      <c r="BY14" s="27"/>
      <c r="BZ14" s="27"/>
      <c r="CA14" s="27">
        <f>+'[1]JUNIO 2016'!$H$1577</f>
        <v>44832044</v>
      </c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9">
        <f t="shared" si="12"/>
        <v>0.31027624615384619</v>
      </c>
      <c r="CR14" s="27">
        <f t="shared" si="13"/>
        <v>20167956</v>
      </c>
      <c r="CS14" s="27">
        <f t="shared" si="14"/>
        <v>0</v>
      </c>
      <c r="CT14" s="27">
        <f t="shared" si="14"/>
        <v>0</v>
      </c>
      <c r="CU14" s="27">
        <f t="shared" si="14"/>
        <v>0</v>
      </c>
      <c r="CV14" s="27">
        <f t="shared" si="14"/>
        <v>0</v>
      </c>
      <c r="CW14" s="27">
        <f t="shared" si="14"/>
        <v>20167956</v>
      </c>
      <c r="CX14" s="27">
        <f t="shared" si="14"/>
        <v>0</v>
      </c>
      <c r="CY14" s="27">
        <f t="shared" si="14"/>
        <v>0</v>
      </c>
      <c r="CZ14" s="27">
        <f t="shared" si="15"/>
        <v>0</v>
      </c>
      <c r="DA14" s="27">
        <f t="shared" si="15"/>
        <v>0</v>
      </c>
      <c r="DB14" s="27">
        <f t="shared" si="15"/>
        <v>0</v>
      </c>
      <c r="DC14" s="27">
        <f t="shared" si="16"/>
        <v>0</v>
      </c>
      <c r="DD14" s="27">
        <f t="shared" si="16"/>
        <v>0</v>
      </c>
      <c r="DE14" s="27">
        <f t="shared" si="16"/>
        <v>0</v>
      </c>
      <c r="DF14" s="27">
        <f t="shared" si="17"/>
        <v>0</v>
      </c>
      <c r="DG14" s="27">
        <f t="shared" si="17"/>
        <v>0</v>
      </c>
      <c r="DH14" s="27">
        <f t="shared" si="17"/>
        <v>0</v>
      </c>
      <c r="DI14" s="27"/>
      <c r="DJ14" s="27">
        <f t="shared" si="18"/>
        <v>0</v>
      </c>
      <c r="DK14" s="27">
        <f t="shared" si="18"/>
        <v>0</v>
      </c>
      <c r="DL14" s="27">
        <f t="shared" si="18"/>
        <v>0</v>
      </c>
      <c r="DN14" s="193"/>
      <c r="DO14" s="193"/>
      <c r="DP14" s="193"/>
      <c r="DQ14" s="193"/>
      <c r="DR14" s="193"/>
    </row>
    <row r="15" spans="1:122" ht="36" hidden="1" customHeight="1" x14ac:dyDescent="0.25">
      <c r="A15" s="34"/>
      <c r="B15" s="225"/>
      <c r="C15" s="23" t="s">
        <v>71</v>
      </c>
      <c r="D15" s="24" t="s">
        <v>72</v>
      </c>
      <c r="E15" s="25">
        <v>510</v>
      </c>
      <c r="F15" s="26" t="s">
        <v>43</v>
      </c>
      <c r="G15" s="27">
        <f t="shared" si="0"/>
        <v>32000000</v>
      </c>
      <c r="H15" s="27"/>
      <c r="I15" s="27"/>
      <c r="J15" s="27"/>
      <c r="K15" s="27"/>
      <c r="L15" s="27">
        <v>1568554</v>
      </c>
      <c r="M15" s="27"/>
      <c r="N15" s="27"/>
      <c r="O15" s="27"/>
      <c r="P15" s="27"/>
      <c r="Q15" s="27"/>
      <c r="R15" s="27"/>
      <c r="S15" s="27"/>
      <c r="T15" s="27">
        <v>30431446</v>
      </c>
      <c r="U15" s="27"/>
      <c r="V15" s="27"/>
      <c r="W15" s="27"/>
      <c r="X15" s="27"/>
      <c r="Y15" s="27"/>
      <c r="Z15" s="27"/>
      <c r="AA15" s="27"/>
      <c r="AC15" s="29">
        <f t="shared" si="1"/>
        <v>0.76304484375000003</v>
      </c>
      <c r="AD15" s="27">
        <f t="shared" si="2"/>
        <v>24417435</v>
      </c>
      <c r="AE15" s="27"/>
      <c r="AF15" s="27"/>
      <c r="AG15" s="27"/>
      <c r="AH15" s="27"/>
      <c r="AI15" s="27">
        <f>+'[3]MAYO 2016'!$O$1393</f>
        <v>1550000</v>
      </c>
      <c r="AJ15" s="27"/>
      <c r="AK15" s="27"/>
      <c r="AL15" s="27"/>
      <c r="AM15" s="27"/>
      <c r="AN15" s="27"/>
      <c r="AO15" s="27"/>
      <c r="AP15" s="27"/>
      <c r="AQ15" s="27">
        <f>+'[3]MAYO 2016'!$W$1393</f>
        <v>22867435</v>
      </c>
      <c r="AR15" s="27"/>
      <c r="AS15" s="27"/>
      <c r="AT15" s="27"/>
      <c r="AU15" s="27"/>
      <c r="AV15" s="27"/>
      <c r="AW15" s="27"/>
      <c r="AX15" s="27"/>
      <c r="AY15" s="29">
        <f t="shared" si="3"/>
        <v>0.23695515624999997</v>
      </c>
      <c r="AZ15" s="27">
        <f t="shared" si="4"/>
        <v>7582565</v>
      </c>
      <c r="BA15" s="27">
        <f t="shared" si="5"/>
        <v>0</v>
      </c>
      <c r="BB15" s="27">
        <f t="shared" si="19"/>
        <v>0</v>
      </c>
      <c r="BC15" s="27">
        <f t="shared" si="6"/>
        <v>0</v>
      </c>
      <c r="BD15" s="27">
        <f t="shared" si="6"/>
        <v>0</v>
      </c>
      <c r="BE15" s="27">
        <f t="shared" si="7"/>
        <v>18554</v>
      </c>
      <c r="BF15" s="27">
        <f t="shared" si="7"/>
        <v>0</v>
      </c>
      <c r="BG15" s="27">
        <f t="shared" si="7"/>
        <v>0</v>
      </c>
      <c r="BH15" s="27">
        <f t="shared" si="7"/>
        <v>0</v>
      </c>
      <c r="BI15" s="27">
        <f t="shared" si="7"/>
        <v>0</v>
      </c>
      <c r="BJ15" s="27">
        <f t="shared" si="7"/>
        <v>0</v>
      </c>
      <c r="BK15" s="27">
        <f t="shared" si="7"/>
        <v>0</v>
      </c>
      <c r="BL15" s="27">
        <f t="shared" si="7"/>
        <v>0</v>
      </c>
      <c r="BM15" s="27">
        <f t="shared" si="7"/>
        <v>7564011</v>
      </c>
      <c r="BN15" s="27">
        <f t="shared" si="7"/>
        <v>0</v>
      </c>
      <c r="BO15" s="27">
        <f t="shared" si="7"/>
        <v>0</v>
      </c>
      <c r="BP15" s="27">
        <f t="shared" si="7"/>
        <v>0</v>
      </c>
      <c r="BQ15" s="27"/>
      <c r="BR15" s="27"/>
      <c r="BS15" s="27">
        <f t="shared" si="8"/>
        <v>0</v>
      </c>
      <c r="BT15" s="27">
        <f t="shared" si="9"/>
        <v>0</v>
      </c>
      <c r="BU15" s="29">
        <f t="shared" si="10"/>
        <v>0.76271571874999999</v>
      </c>
      <c r="BV15" s="27">
        <f t="shared" si="11"/>
        <v>24406903</v>
      </c>
      <c r="BW15" s="27"/>
      <c r="BX15" s="27"/>
      <c r="BY15" s="27"/>
      <c r="BZ15" s="27"/>
      <c r="CA15" s="27">
        <f>+'[3]MAYO 2016'!$O$1397</f>
        <v>1550000</v>
      </c>
      <c r="CB15" s="27"/>
      <c r="CC15" s="27"/>
      <c r="CD15" s="27"/>
      <c r="CE15" s="27"/>
      <c r="CF15" s="27"/>
      <c r="CG15" s="27"/>
      <c r="CH15" s="27"/>
      <c r="CI15" s="27">
        <f>+'[3]MAYO 2016'!$H$1394+'[3]MAYO 2016'!$H$1396+'[3]MAYO 2016'!$H$1398+'[3]MAYO 2016'!$H$1399</f>
        <v>22856903</v>
      </c>
      <c r="CJ15" s="27"/>
      <c r="CK15" s="27"/>
      <c r="CL15" s="27"/>
      <c r="CM15" s="27"/>
      <c r="CN15" s="27"/>
      <c r="CO15" s="27"/>
      <c r="CP15" s="27"/>
      <c r="CQ15" s="29">
        <f t="shared" si="12"/>
        <v>0.23728428125000001</v>
      </c>
      <c r="CR15" s="27">
        <f t="shared" si="13"/>
        <v>7593097</v>
      </c>
      <c r="CS15" s="27">
        <f t="shared" si="14"/>
        <v>0</v>
      </c>
      <c r="CT15" s="27">
        <f t="shared" si="14"/>
        <v>0</v>
      </c>
      <c r="CU15" s="27">
        <f t="shared" si="14"/>
        <v>0</v>
      </c>
      <c r="CV15" s="27">
        <f t="shared" si="14"/>
        <v>0</v>
      </c>
      <c r="CW15" s="27">
        <f t="shared" si="14"/>
        <v>18554</v>
      </c>
      <c r="CX15" s="27">
        <f t="shared" si="14"/>
        <v>0</v>
      </c>
      <c r="CY15" s="27">
        <f t="shared" si="14"/>
        <v>0</v>
      </c>
      <c r="CZ15" s="27">
        <f t="shared" si="15"/>
        <v>0</v>
      </c>
      <c r="DA15" s="27">
        <f t="shared" si="15"/>
        <v>0</v>
      </c>
      <c r="DB15" s="27">
        <f t="shared" si="15"/>
        <v>0</v>
      </c>
      <c r="DC15" s="27">
        <f t="shared" si="16"/>
        <v>0</v>
      </c>
      <c r="DD15" s="27">
        <f t="shared" si="16"/>
        <v>0</v>
      </c>
      <c r="DE15" s="27">
        <f t="shared" si="16"/>
        <v>7574543</v>
      </c>
      <c r="DF15" s="27">
        <f t="shared" si="17"/>
        <v>0</v>
      </c>
      <c r="DG15" s="27">
        <f t="shared" si="17"/>
        <v>0</v>
      </c>
      <c r="DH15" s="27">
        <f t="shared" si="17"/>
        <v>0</v>
      </c>
      <c r="DI15" s="27"/>
      <c r="DJ15" s="27">
        <f t="shared" si="18"/>
        <v>0</v>
      </c>
      <c r="DK15" s="27">
        <f t="shared" si="18"/>
        <v>0</v>
      </c>
      <c r="DL15" s="27">
        <f t="shared" si="18"/>
        <v>0</v>
      </c>
      <c r="DN15" s="193"/>
      <c r="DO15" s="193"/>
      <c r="DP15" s="193"/>
      <c r="DQ15" s="193"/>
      <c r="DR15" s="193"/>
    </row>
    <row r="16" spans="1:122" ht="22.5" hidden="1" customHeight="1" x14ac:dyDescent="0.25">
      <c r="A16" s="34"/>
      <c r="B16" s="213"/>
      <c r="C16" s="23" t="s">
        <v>73</v>
      </c>
      <c r="D16" s="24" t="s">
        <v>74</v>
      </c>
      <c r="E16" s="25">
        <v>510</v>
      </c>
      <c r="F16" s="26" t="s">
        <v>75</v>
      </c>
      <c r="G16" s="27">
        <f t="shared" si="0"/>
        <v>0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>
        <f>4000000-4000000</f>
        <v>0</v>
      </c>
      <c r="AC16" s="29" t="e">
        <f t="shared" si="1"/>
        <v>#DIV/0!</v>
      </c>
      <c r="AD16" s="27">
        <f t="shared" si="2"/>
        <v>0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9" t="e">
        <f t="shared" si="3"/>
        <v>#DIV/0!</v>
      </c>
      <c r="AZ16" s="27">
        <f t="shared" si="4"/>
        <v>0</v>
      </c>
      <c r="BA16" s="27">
        <f t="shared" si="5"/>
        <v>0</v>
      </c>
      <c r="BB16" s="27">
        <f t="shared" si="19"/>
        <v>0</v>
      </c>
      <c r="BC16" s="27">
        <f t="shared" si="6"/>
        <v>0</v>
      </c>
      <c r="BD16" s="27">
        <f t="shared" si="6"/>
        <v>0</v>
      </c>
      <c r="BE16" s="27">
        <f t="shared" si="7"/>
        <v>0</v>
      </c>
      <c r="BF16" s="27">
        <f t="shared" si="7"/>
        <v>0</v>
      </c>
      <c r="BG16" s="27">
        <f t="shared" si="7"/>
        <v>0</v>
      </c>
      <c r="BH16" s="27">
        <f t="shared" si="7"/>
        <v>0</v>
      </c>
      <c r="BI16" s="27">
        <f t="shared" si="7"/>
        <v>0</v>
      </c>
      <c r="BJ16" s="27">
        <f t="shared" si="7"/>
        <v>0</v>
      </c>
      <c r="BK16" s="27">
        <f t="shared" si="7"/>
        <v>0</v>
      </c>
      <c r="BL16" s="27">
        <f t="shared" si="7"/>
        <v>0</v>
      </c>
      <c r="BM16" s="27">
        <f t="shared" si="7"/>
        <v>0</v>
      </c>
      <c r="BN16" s="27">
        <f t="shared" si="7"/>
        <v>0</v>
      </c>
      <c r="BO16" s="27">
        <f t="shared" si="7"/>
        <v>0</v>
      </c>
      <c r="BP16" s="27">
        <f t="shared" si="7"/>
        <v>0</v>
      </c>
      <c r="BQ16" s="27"/>
      <c r="BR16" s="27"/>
      <c r="BS16" s="27">
        <f t="shared" si="8"/>
        <v>0</v>
      </c>
      <c r="BT16" s="27">
        <f t="shared" si="9"/>
        <v>0</v>
      </c>
      <c r="BU16" s="29" t="e">
        <f t="shared" si="10"/>
        <v>#DIV/0!</v>
      </c>
      <c r="BV16" s="27">
        <f t="shared" si="11"/>
        <v>0</v>
      </c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9" t="e">
        <f t="shared" si="12"/>
        <v>#DIV/0!</v>
      </c>
      <c r="CR16" s="27">
        <f t="shared" si="13"/>
        <v>0</v>
      </c>
      <c r="CS16" s="27">
        <f t="shared" si="14"/>
        <v>0</v>
      </c>
      <c r="CT16" s="27">
        <f t="shared" si="14"/>
        <v>0</v>
      </c>
      <c r="CU16" s="27">
        <f t="shared" si="14"/>
        <v>0</v>
      </c>
      <c r="CV16" s="27">
        <f t="shared" si="14"/>
        <v>0</v>
      </c>
      <c r="CW16" s="27">
        <f t="shared" si="14"/>
        <v>0</v>
      </c>
      <c r="CX16" s="27">
        <f t="shared" si="14"/>
        <v>0</v>
      </c>
      <c r="CY16" s="27">
        <f t="shared" si="14"/>
        <v>0</v>
      </c>
      <c r="CZ16" s="27">
        <f t="shared" si="15"/>
        <v>0</v>
      </c>
      <c r="DA16" s="27">
        <f t="shared" si="15"/>
        <v>0</v>
      </c>
      <c r="DB16" s="27">
        <f t="shared" si="15"/>
        <v>0</v>
      </c>
      <c r="DC16" s="27">
        <f t="shared" si="16"/>
        <v>0</v>
      </c>
      <c r="DD16" s="27">
        <f t="shared" si="16"/>
        <v>0</v>
      </c>
      <c r="DE16" s="27">
        <f t="shared" si="16"/>
        <v>0</v>
      </c>
      <c r="DF16" s="27">
        <f t="shared" si="17"/>
        <v>0</v>
      </c>
      <c r="DG16" s="27">
        <f t="shared" si="17"/>
        <v>0</v>
      </c>
      <c r="DH16" s="27">
        <f t="shared" si="17"/>
        <v>0</v>
      </c>
      <c r="DI16" s="27"/>
      <c r="DJ16" s="27">
        <f t="shared" si="18"/>
        <v>0</v>
      </c>
      <c r="DK16" s="27">
        <f t="shared" si="18"/>
        <v>0</v>
      </c>
      <c r="DL16" s="27">
        <f t="shared" si="18"/>
        <v>0</v>
      </c>
      <c r="DN16" s="193"/>
      <c r="DO16" s="193"/>
      <c r="DP16" s="193"/>
      <c r="DQ16" s="193"/>
      <c r="DR16" s="193"/>
    </row>
    <row r="17" spans="1:123" ht="23.25" hidden="1" customHeight="1" x14ac:dyDescent="0.25">
      <c r="A17" s="34"/>
      <c r="B17" s="40" t="s">
        <v>76</v>
      </c>
      <c r="C17" s="23" t="s">
        <v>77</v>
      </c>
      <c r="D17" s="24" t="s">
        <v>366</v>
      </c>
      <c r="E17" s="25">
        <v>510</v>
      </c>
      <c r="F17" s="26" t="s">
        <v>43</v>
      </c>
      <c r="G17" s="27">
        <f t="shared" si="0"/>
        <v>30800000</v>
      </c>
      <c r="H17" s="27"/>
      <c r="I17" s="27"/>
      <c r="J17" s="27"/>
      <c r="K17" s="27"/>
      <c r="L17" s="27">
        <f>30800000</f>
        <v>30800000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C17" s="29">
        <f t="shared" si="1"/>
        <v>1</v>
      </c>
      <c r="AD17" s="27">
        <f t="shared" si="2"/>
        <v>30800000</v>
      </c>
      <c r="AE17" s="27"/>
      <c r="AF17" s="27"/>
      <c r="AG17" s="27"/>
      <c r="AH17" s="27"/>
      <c r="AI17" s="27">
        <f>+'[1]JUNIO 2016'!$O$1629</f>
        <v>30800000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9">
        <f t="shared" si="3"/>
        <v>0</v>
      </c>
      <c r="AZ17" s="27">
        <f t="shared" si="4"/>
        <v>0</v>
      </c>
      <c r="BA17" s="27">
        <f t="shared" si="5"/>
        <v>0</v>
      </c>
      <c r="BB17" s="27">
        <f t="shared" si="5"/>
        <v>0</v>
      </c>
      <c r="BC17" s="27">
        <f t="shared" si="5"/>
        <v>0</v>
      </c>
      <c r="BD17" s="27">
        <f t="shared" si="5"/>
        <v>0</v>
      </c>
      <c r="BE17" s="27">
        <f t="shared" si="7"/>
        <v>0</v>
      </c>
      <c r="BF17" s="27">
        <f t="shared" si="5"/>
        <v>0</v>
      </c>
      <c r="BG17" s="27">
        <f t="shared" si="5"/>
        <v>0</v>
      </c>
      <c r="BH17" s="27">
        <f t="shared" si="5"/>
        <v>0</v>
      </c>
      <c r="BI17" s="27">
        <f t="shared" si="5"/>
        <v>0</v>
      </c>
      <c r="BJ17" s="27">
        <f t="shared" si="5"/>
        <v>0</v>
      </c>
      <c r="BK17" s="27">
        <f t="shared" si="5"/>
        <v>0</v>
      </c>
      <c r="BL17" s="27">
        <f t="shared" si="5"/>
        <v>0</v>
      </c>
      <c r="BM17" s="27">
        <f t="shared" si="5"/>
        <v>0</v>
      </c>
      <c r="BN17" s="27">
        <f t="shared" si="5"/>
        <v>0</v>
      </c>
      <c r="BO17" s="27">
        <f t="shared" si="5"/>
        <v>0</v>
      </c>
      <c r="BP17" s="27">
        <f t="shared" si="5"/>
        <v>0</v>
      </c>
      <c r="BQ17" s="27"/>
      <c r="BR17" s="27">
        <f>+Y17</f>
        <v>0</v>
      </c>
      <c r="BS17" s="27">
        <f>+Z17</f>
        <v>0</v>
      </c>
      <c r="BT17" s="27">
        <f>+AA17</f>
        <v>0</v>
      </c>
      <c r="BU17" s="29">
        <f t="shared" si="10"/>
        <v>0</v>
      </c>
      <c r="BV17" s="27">
        <f t="shared" si="11"/>
        <v>0</v>
      </c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9">
        <f t="shared" si="12"/>
        <v>1</v>
      </c>
      <c r="CR17" s="27">
        <f t="shared" si="13"/>
        <v>30800000</v>
      </c>
      <c r="CS17" s="27">
        <f t="shared" si="14"/>
        <v>0</v>
      </c>
      <c r="CT17" s="27">
        <f t="shared" si="14"/>
        <v>0</v>
      </c>
      <c r="CU17" s="27">
        <f t="shared" si="14"/>
        <v>0</v>
      </c>
      <c r="CV17" s="27">
        <f t="shared" si="14"/>
        <v>0</v>
      </c>
      <c r="CW17" s="27">
        <f>L17-CA17</f>
        <v>30800000</v>
      </c>
      <c r="CX17" s="27">
        <f t="shared" si="14"/>
        <v>0</v>
      </c>
      <c r="CY17" s="27">
        <f t="shared" si="14"/>
        <v>0</v>
      </c>
      <c r="CZ17" s="27">
        <f>O17-CD17</f>
        <v>0</v>
      </c>
      <c r="DA17" s="27">
        <f>P17-CE17</f>
        <v>0</v>
      </c>
      <c r="DB17" s="27">
        <f>Q17-CF17</f>
        <v>0</v>
      </c>
      <c r="DC17" s="27">
        <f t="shared" si="16"/>
        <v>0</v>
      </c>
      <c r="DD17" s="27">
        <f t="shared" si="16"/>
        <v>0</v>
      </c>
      <c r="DE17" s="27">
        <f t="shared" si="16"/>
        <v>0</v>
      </c>
      <c r="DF17" s="27">
        <f>U17-CJ17</f>
        <v>0</v>
      </c>
      <c r="DG17" s="27">
        <f>V17-CK17</f>
        <v>0</v>
      </c>
      <c r="DH17" s="27">
        <f>W17-CL17</f>
        <v>0</v>
      </c>
      <c r="DI17" s="27"/>
      <c r="DJ17" s="27">
        <f>Y17-CN17</f>
        <v>0</v>
      </c>
      <c r="DK17" s="27">
        <f>Z17-CO17</f>
        <v>0</v>
      </c>
      <c r="DL17" s="27">
        <f>AA17-CP17</f>
        <v>0</v>
      </c>
      <c r="DN17" s="193"/>
      <c r="DO17" s="193"/>
      <c r="DP17" s="193"/>
      <c r="DQ17" s="193"/>
      <c r="DR17" s="193"/>
    </row>
    <row r="18" spans="1:123" ht="22.5" hidden="1" customHeight="1" x14ac:dyDescent="0.25">
      <c r="A18" s="34"/>
      <c r="B18" s="212" t="s">
        <v>78</v>
      </c>
      <c r="C18" s="23" t="s">
        <v>79</v>
      </c>
      <c r="D18" s="24" t="s">
        <v>80</v>
      </c>
      <c r="E18" s="25">
        <v>510</v>
      </c>
      <c r="F18" s="26" t="s">
        <v>43</v>
      </c>
      <c r="G18" s="27">
        <f t="shared" si="0"/>
        <v>17000000</v>
      </c>
      <c r="H18" s="27"/>
      <c r="I18" s="27"/>
      <c r="J18" s="27"/>
      <c r="K18" s="27"/>
      <c r="L18" s="27">
        <v>17000000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C18" s="29">
        <f t="shared" si="1"/>
        <v>0</v>
      </c>
      <c r="AD18" s="27">
        <f t="shared" si="2"/>
        <v>0</v>
      </c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9">
        <f t="shared" si="3"/>
        <v>1</v>
      </c>
      <c r="AZ18" s="27">
        <f t="shared" si="4"/>
        <v>17000000</v>
      </c>
      <c r="BA18" s="27">
        <f t="shared" si="5"/>
        <v>0</v>
      </c>
      <c r="BB18" s="27">
        <f t="shared" ref="BB18:BD19" si="20">I18-AF18</f>
        <v>0</v>
      </c>
      <c r="BC18" s="27">
        <f t="shared" si="20"/>
        <v>0</v>
      </c>
      <c r="BD18" s="27">
        <f t="shared" si="20"/>
        <v>0</v>
      </c>
      <c r="BE18" s="27">
        <f t="shared" si="7"/>
        <v>17000000</v>
      </c>
      <c r="BF18" s="27">
        <f t="shared" si="7"/>
        <v>0</v>
      </c>
      <c r="BG18" s="27">
        <f t="shared" si="7"/>
        <v>0</v>
      </c>
      <c r="BH18" s="27">
        <f t="shared" si="7"/>
        <v>0</v>
      </c>
      <c r="BI18" s="27">
        <f t="shared" si="7"/>
        <v>0</v>
      </c>
      <c r="BJ18" s="27">
        <f t="shared" si="7"/>
        <v>0</v>
      </c>
      <c r="BK18" s="27">
        <f t="shared" si="7"/>
        <v>0</v>
      </c>
      <c r="BL18" s="27">
        <f t="shared" si="7"/>
        <v>0</v>
      </c>
      <c r="BM18" s="27">
        <f t="shared" si="7"/>
        <v>0</v>
      </c>
      <c r="BN18" s="27">
        <f t="shared" si="7"/>
        <v>0</v>
      </c>
      <c r="BO18" s="27">
        <f t="shared" si="7"/>
        <v>0</v>
      </c>
      <c r="BP18" s="27">
        <f t="shared" si="7"/>
        <v>0</v>
      </c>
      <c r="BQ18" s="27"/>
      <c r="BR18" s="27"/>
      <c r="BS18" s="27">
        <f>Z18-AW18</f>
        <v>0</v>
      </c>
      <c r="BT18" s="27">
        <f>+AA18-AX18</f>
        <v>0</v>
      </c>
      <c r="BU18" s="29">
        <f t="shared" si="10"/>
        <v>0</v>
      </c>
      <c r="BV18" s="27">
        <f t="shared" si="11"/>
        <v>0</v>
      </c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9">
        <f t="shared" si="12"/>
        <v>1</v>
      </c>
      <c r="CR18" s="27">
        <f t="shared" si="13"/>
        <v>17000000</v>
      </c>
      <c r="CS18" s="27">
        <f t="shared" si="14"/>
        <v>0</v>
      </c>
      <c r="CT18" s="27">
        <f t="shared" si="14"/>
        <v>0</v>
      </c>
      <c r="CU18" s="27">
        <f t="shared" si="14"/>
        <v>0</v>
      </c>
      <c r="CV18" s="27">
        <f t="shared" si="14"/>
        <v>0</v>
      </c>
      <c r="CW18" s="27">
        <f t="shared" si="14"/>
        <v>17000000</v>
      </c>
      <c r="CX18" s="27">
        <f t="shared" si="14"/>
        <v>0</v>
      </c>
      <c r="CY18" s="27">
        <f t="shared" si="14"/>
        <v>0</v>
      </c>
      <c r="CZ18" s="27">
        <f t="shared" ref="CZ18:DB19" si="21">+O18-CD18</f>
        <v>0</v>
      </c>
      <c r="DA18" s="27">
        <f t="shared" si="21"/>
        <v>0</v>
      </c>
      <c r="DB18" s="27">
        <f t="shared" si="21"/>
        <v>0</v>
      </c>
      <c r="DC18" s="27">
        <f t="shared" si="16"/>
        <v>0</v>
      </c>
      <c r="DD18" s="27">
        <f t="shared" si="16"/>
        <v>0</v>
      </c>
      <c r="DE18" s="27">
        <f t="shared" si="16"/>
        <v>0</v>
      </c>
      <c r="DF18" s="27">
        <f t="shared" ref="DF18:DH19" si="22">+U18-CJ18</f>
        <v>0</v>
      </c>
      <c r="DG18" s="27">
        <f t="shared" si="22"/>
        <v>0</v>
      </c>
      <c r="DH18" s="27">
        <f t="shared" si="22"/>
        <v>0</v>
      </c>
      <c r="DI18" s="27"/>
      <c r="DJ18" s="27">
        <f t="shared" ref="DJ18:DL19" si="23">+Y18-CN18</f>
        <v>0</v>
      </c>
      <c r="DK18" s="27">
        <f t="shared" si="23"/>
        <v>0</v>
      </c>
      <c r="DL18" s="27">
        <f t="shared" si="23"/>
        <v>0</v>
      </c>
      <c r="DN18" s="193"/>
      <c r="DO18" s="193"/>
      <c r="DP18" s="193"/>
      <c r="DQ18" s="193"/>
      <c r="DR18" s="193"/>
    </row>
    <row r="19" spans="1:123" ht="18.75" hidden="1" customHeight="1" x14ac:dyDescent="0.25">
      <c r="A19" s="41"/>
      <c r="B19" s="213"/>
      <c r="C19" s="23" t="s">
        <v>81</v>
      </c>
      <c r="D19" s="24" t="s">
        <v>82</v>
      </c>
      <c r="E19" s="25">
        <v>510</v>
      </c>
      <c r="F19" s="26" t="s">
        <v>83</v>
      </c>
      <c r="G19" s="27">
        <f t="shared" si="0"/>
        <v>61000000</v>
      </c>
      <c r="H19" s="27"/>
      <c r="I19" s="27"/>
      <c r="J19" s="27"/>
      <c r="K19" s="27"/>
      <c r="L19" s="27">
        <v>40000000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>
        <v>21000000</v>
      </c>
      <c r="AC19" s="29">
        <f t="shared" si="1"/>
        <v>0.62564786885245904</v>
      </c>
      <c r="AD19" s="27">
        <f t="shared" si="2"/>
        <v>38164520</v>
      </c>
      <c r="AE19" s="27"/>
      <c r="AF19" s="27"/>
      <c r="AG19" s="27"/>
      <c r="AH19" s="27"/>
      <c r="AI19" s="27">
        <f>+'[4]ABRIL 2016'!$O$1238</f>
        <v>38164520</v>
      </c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9">
        <f t="shared" si="3"/>
        <v>0.37435213114754096</v>
      </c>
      <c r="AZ19" s="27">
        <f t="shared" si="4"/>
        <v>22835480</v>
      </c>
      <c r="BA19" s="27">
        <f t="shared" si="5"/>
        <v>0</v>
      </c>
      <c r="BB19" s="27">
        <f t="shared" si="20"/>
        <v>0</v>
      </c>
      <c r="BC19" s="27">
        <f t="shared" si="20"/>
        <v>0</v>
      </c>
      <c r="BD19" s="27">
        <f t="shared" si="20"/>
        <v>0</v>
      </c>
      <c r="BE19" s="27">
        <f t="shared" si="7"/>
        <v>1835480</v>
      </c>
      <c r="BF19" s="27">
        <f t="shared" si="7"/>
        <v>0</v>
      </c>
      <c r="BG19" s="27">
        <f t="shared" si="7"/>
        <v>0</v>
      </c>
      <c r="BH19" s="27">
        <f t="shared" si="7"/>
        <v>0</v>
      </c>
      <c r="BI19" s="27">
        <f t="shared" si="7"/>
        <v>0</v>
      </c>
      <c r="BJ19" s="27">
        <f t="shared" si="7"/>
        <v>0</v>
      </c>
      <c r="BK19" s="27">
        <f t="shared" si="7"/>
        <v>0</v>
      </c>
      <c r="BL19" s="27">
        <f t="shared" si="7"/>
        <v>0</v>
      </c>
      <c r="BM19" s="27">
        <f t="shared" si="7"/>
        <v>0</v>
      </c>
      <c r="BN19" s="27">
        <f t="shared" si="7"/>
        <v>0</v>
      </c>
      <c r="BO19" s="27">
        <f t="shared" si="7"/>
        <v>0</v>
      </c>
      <c r="BP19" s="27">
        <f t="shared" si="7"/>
        <v>0</v>
      </c>
      <c r="BQ19" s="27"/>
      <c r="BR19" s="27"/>
      <c r="BS19" s="27">
        <f>Z19-AW19</f>
        <v>0</v>
      </c>
      <c r="BT19" s="27">
        <f>+AA19-AX19</f>
        <v>21000000</v>
      </c>
      <c r="BU19" s="29">
        <f t="shared" si="10"/>
        <v>0.60925432786885247</v>
      </c>
      <c r="BV19" s="27">
        <f t="shared" si="11"/>
        <v>37164514</v>
      </c>
      <c r="BW19" s="27"/>
      <c r="BX19" s="27"/>
      <c r="BY19" s="27"/>
      <c r="BZ19" s="27"/>
      <c r="CA19" s="27">
        <f>+'[3]MAYO 2016'!$H$1417</f>
        <v>37164514</v>
      </c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9">
        <f t="shared" si="12"/>
        <v>0.39074567213114753</v>
      </c>
      <c r="CR19" s="27">
        <f t="shared" si="13"/>
        <v>23835486</v>
      </c>
      <c r="CS19" s="27">
        <f t="shared" si="14"/>
        <v>0</v>
      </c>
      <c r="CT19" s="27">
        <f t="shared" si="14"/>
        <v>0</v>
      </c>
      <c r="CU19" s="27">
        <f t="shared" si="14"/>
        <v>0</v>
      </c>
      <c r="CV19" s="27">
        <f t="shared" si="14"/>
        <v>0</v>
      </c>
      <c r="CW19" s="27">
        <f t="shared" si="14"/>
        <v>2835486</v>
      </c>
      <c r="CX19" s="27">
        <f t="shared" si="14"/>
        <v>0</v>
      </c>
      <c r="CY19" s="27">
        <f t="shared" si="14"/>
        <v>0</v>
      </c>
      <c r="CZ19" s="27">
        <f t="shared" si="21"/>
        <v>0</v>
      </c>
      <c r="DA19" s="27">
        <f t="shared" si="21"/>
        <v>0</v>
      </c>
      <c r="DB19" s="27">
        <f t="shared" si="21"/>
        <v>0</v>
      </c>
      <c r="DC19" s="27">
        <f t="shared" si="16"/>
        <v>0</v>
      </c>
      <c r="DD19" s="27">
        <f t="shared" si="16"/>
        <v>0</v>
      </c>
      <c r="DE19" s="27">
        <f t="shared" si="16"/>
        <v>0</v>
      </c>
      <c r="DF19" s="27">
        <f t="shared" si="22"/>
        <v>0</v>
      </c>
      <c r="DG19" s="27">
        <f t="shared" si="22"/>
        <v>0</v>
      </c>
      <c r="DH19" s="27">
        <f t="shared" si="22"/>
        <v>0</v>
      </c>
      <c r="DI19" s="27"/>
      <c r="DJ19" s="27">
        <f t="shared" si="23"/>
        <v>0</v>
      </c>
      <c r="DK19" s="27">
        <f t="shared" si="23"/>
        <v>0</v>
      </c>
      <c r="DL19" s="27">
        <f t="shared" si="23"/>
        <v>21000000</v>
      </c>
      <c r="DN19" s="193"/>
      <c r="DO19" s="193"/>
      <c r="DP19" s="193"/>
      <c r="DQ19" s="193"/>
      <c r="DR19" s="193"/>
    </row>
    <row r="20" spans="1:123" s="50" customFormat="1" ht="22.5" customHeight="1" thickBot="1" x14ac:dyDescent="0.3">
      <c r="A20" s="42"/>
      <c r="B20" s="274" t="s">
        <v>378</v>
      </c>
      <c r="C20" s="275"/>
      <c r="D20" s="275"/>
      <c r="E20" s="276"/>
      <c r="F20" s="43"/>
      <c r="G20" s="44">
        <f t="shared" ref="G20:W20" si="24">SUM(G4:G19)</f>
        <v>1381230977</v>
      </c>
      <c r="H20" s="44">
        <f t="shared" si="24"/>
        <v>0</v>
      </c>
      <c r="I20" s="44">
        <f t="shared" si="24"/>
        <v>0</v>
      </c>
      <c r="J20" s="44">
        <f t="shared" si="24"/>
        <v>450000000</v>
      </c>
      <c r="K20" s="44">
        <f t="shared" si="24"/>
        <v>0</v>
      </c>
      <c r="L20" s="44">
        <f t="shared" si="24"/>
        <v>749568554</v>
      </c>
      <c r="M20" s="44">
        <f t="shared" si="24"/>
        <v>14004396</v>
      </c>
      <c r="N20" s="44">
        <f t="shared" si="24"/>
        <v>0</v>
      </c>
      <c r="O20" s="44">
        <f t="shared" si="24"/>
        <v>0</v>
      </c>
      <c r="P20" s="44">
        <f t="shared" si="24"/>
        <v>0</v>
      </c>
      <c r="Q20" s="44">
        <f t="shared" si="24"/>
        <v>0</v>
      </c>
      <c r="R20" s="44">
        <f t="shared" si="24"/>
        <v>0</v>
      </c>
      <c r="S20" s="44">
        <f t="shared" si="24"/>
        <v>0</v>
      </c>
      <c r="T20" s="44">
        <f t="shared" si="24"/>
        <v>30431446</v>
      </c>
      <c r="U20" s="44">
        <f t="shared" si="24"/>
        <v>1796640</v>
      </c>
      <c r="V20" s="44">
        <f t="shared" si="24"/>
        <v>0</v>
      </c>
      <c r="W20" s="44">
        <f t="shared" si="24"/>
        <v>0</v>
      </c>
      <c r="X20" s="44"/>
      <c r="Y20" s="44">
        <f>SUM(Y4:Y19)</f>
        <v>0</v>
      </c>
      <c r="Z20" s="44">
        <f>SUM(Z4:Z19)</f>
        <v>0</v>
      </c>
      <c r="AA20" s="44">
        <f>SUM(AA4:AA19)</f>
        <v>135429941</v>
      </c>
      <c r="AB20" s="45"/>
      <c r="AC20" s="46">
        <f t="shared" si="1"/>
        <v>0.57024378696655886</v>
      </c>
      <c r="AD20" s="47">
        <f>SUM(AD4:AD19)</f>
        <v>787638383</v>
      </c>
      <c r="AE20" s="47"/>
      <c r="AF20" s="47">
        <f t="shared" ref="AF20:AX20" si="25">SUM(AF4:AF19)</f>
        <v>0</v>
      </c>
      <c r="AG20" s="47">
        <f t="shared" si="25"/>
        <v>50285937</v>
      </c>
      <c r="AH20" s="47">
        <f t="shared" si="25"/>
        <v>0</v>
      </c>
      <c r="AI20" s="47">
        <f t="shared" si="25"/>
        <v>639621937</v>
      </c>
      <c r="AJ20" s="47">
        <f t="shared" si="25"/>
        <v>14004396</v>
      </c>
      <c r="AK20" s="47">
        <f t="shared" si="25"/>
        <v>0</v>
      </c>
      <c r="AL20" s="47">
        <f t="shared" si="25"/>
        <v>0</v>
      </c>
      <c r="AM20" s="47">
        <f t="shared" si="25"/>
        <v>0</v>
      </c>
      <c r="AN20" s="47">
        <f t="shared" si="25"/>
        <v>0</v>
      </c>
      <c r="AO20" s="47">
        <f t="shared" si="25"/>
        <v>0</v>
      </c>
      <c r="AP20" s="47">
        <f t="shared" si="25"/>
        <v>0</v>
      </c>
      <c r="AQ20" s="47">
        <f t="shared" si="25"/>
        <v>22867435</v>
      </c>
      <c r="AR20" s="47">
        <f t="shared" si="25"/>
        <v>1796640</v>
      </c>
      <c r="AS20" s="47">
        <f t="shared" si="25"/>
        <v>0</v>
      </c>
      <c r="AT20" s="47">
        <f t="shared" si="25"/>
        <v>0</v>
      </c>
      <c r="AU20" s="47">
        <f t="shared" si="25"/>
        <v>0</v>
      </c>
      <c r="AV20" s="47">
        <f t="shared" si="25"/>
        <v>0</v>
      </c>
      <c r="AW20" s="47">
        <f t="shared" si="25"/>
        <v>0</v>
      </c>
      <c r="AX20" s="47">
        <f t="shared" si="25"/>
        <v>59062038</v>
      </c>
      <c r="AY20" s="48">
        <f t="shared" si="3"/>
        <v>0.42975621303344114</v>
      </c>
      <c r="AZ20" s="47">
        <f t="shared" ref="AZ20:BP20" si="26">SUM(AZ4:AZ19)</f>
        <v>593592594</v>
      </c>
      <c r="BA20" s="47">
        <f t="shared" si="26"/>
        <v>0</v>
      </c>
      <c r="BB20" s="47">
        <f t="shared" si="26"/>
        <v>0</v>
      </c>
      <c r="BC20" s="47">
        <f t="shared" si="26"/>
        <v>399714063</v>
      </c>
      <c r="BD20" s="47">
        <f t="shared" si="26"/>
        <v>0</v>
      </c>
      <c r="BE20" s="47">
        <f t="shared" si="26"/>
        <v>109946617</v>
      </c>
      <c r="BF20" s="47">
        <f t="shared" si="26"/>
        <v>0</v>
      </c>
      <c r="BG20" s="47">
        <f t="shared" si="26"/>
        <v>0</v>
      </c>
      <c r="BH20" s="47">
        <f t="shared" si="26"/>
        <v>0</v>
      </c>
      <c r="BI20" s="47">
        <f t="shared" si="26"/>
        <v>0</v>
      </c>
      <c r="BJ20" s="47">
        <f t="shared" si="26"/>
        <v>0</v>
      </c>
      <c r="BK20" s="47">
        <f t="shared" si="26"/>
        <v>0</v>
      </c>
      <c r="BL20" s="47">
        <f t="shared" si="26"/>
        <v>0</v>
      </c>
      <c r="BM20" s="47">
        <f t="shared" si="26"/>
        <v>7564011</v>
      </c>
      <c r="BN20" s="47">
        <f t="shared" si="26"/>
        <v>0</v>
      </c>
      <c r="BO20" s="47">
        <f t="shared" si="26"/>
        <v>0</v>
      </c>
      <c r="BP20" s="47">
        <f t="shared" si="26"/>
        <v>0</v>
      </c>
      <c r="BQ20" s="47"/>
      <c r="BR20" s="47">
        <f>SUM(BR4:BR19)</f>
        <v>0</v>
      </c>
      <c r="BS20" s="47">
        <f>SUM(BS4:BS19)</f>
        <v>0</v>
      </c>
      <c r="BT20" s="47">
        <f>SUM(BT4:BT19)</f>
        <v>76367903</v>
      </c>
      <c r="BU20" s="48">
        <f t="shared" si="10"/>
        <v>0.44610705034890047</v>
      </c>
      <c r="BV20" s="47">
        <f t="shared" ref="BV20:CL20" si="27">SUM(BV4:BV19)</f>
        <v>616176877</v>
      </c>
      <c r="BW20" s="47">
        <f t="shared" si="27"/>
        <v>0</v>
      </c>
      <c r="BX20" s="47">
        <f t="shared" si="27"/>
        <v>0</v>
      </c>
      <c r="BY20" s="47">
        <f t="shared" si="27"/>
        <v>50285937</v>
      </c>
      <c r="BZ20" s="47">
        <f t="shared" si="27"/>
        <v>0</v>
      </c>
      <c r="CA20" s="47">
        <f t="shared" si="27"/>
        <v>469778031</v>
      </c>
      <c r="CB20" s="47">
        <f t="shared" si="27"/>
        <v>14004396</v>
      </c>
      <c r="CC20" s="47">
        <f t="shared" si="27"/>
        <v>0</v>
      </c>
      <c r="CD20" s="47">
        <f t="shared" si="27"/>
        <v>0</v>
      </c>
      <c r="CE20" s="47">
        <f t="shared" si="27"/>
        <v>0</v>
      </c>
      <c r="CF20" s="47">
        <f t="shared" si="27"/>
        <v>0</v>
      </c>
      <c r="CG20" s="47">
        <f t="shared" si="27"/>
        <v>0</v>
      </c>
      <c r="CH20" s="47">
        <f t="shared" si="27"/>
        <v>0</v>
      </c>
      <c r="CI20" s="47">
        <f t="shared" si="27"/>
        <v>22856903</v>
      </c>
      <c r="CJ20" s="47">
        <f t="shared" si="27"/>
        <v>1796640</v>
      </c>
      <c r="CK20" s="47">
        <f t="shared" si="27"/>
        <v>0</v>
      </c>
      <c r="CL20" s="47">
        <f t="shared" si="27"/>
        <v>0</v>
      </c>
      <c r="CM20" s="47"/>
      <c r="CN20" s="47">
        <f>SUM(CN4:CN19)</f>
        <v>0</v>
      </c>
      <c r="CO20" s="47">
        <f>SUM(CO4:CO19)</f>
        <v>0</v>
      </c>
      <c r="CP20" s="47">
        <f>SUM(CP4:CP19)</f>
        <v>57454970</v>
      </c>
      <c r="CQ20" s="48">
        <f t="shared" si="12"/>
        <v>0.55389294965109959</v>
      </c>
      <c r="CR20" s="47">
        <f t="shared" ref="CR20:DL20" si="28">SUM(CR4:CR19)</f>
        <v>765054100</v>
      </c>
      <c r="CS20" s="47">
        <f t="shared" si="28"/>
        <v>0</v>
      </c>
      <c r="CT20" s="47">
        <f t="shared" si="28"/>
        <v>0</v>
      </c>
      <c r="CU20" s="47">
        <f t="shared" si="28"/>
        <v>399714063</v>
      </c>
      <c r="CV20" s="47">
        <f t="shared" si="28"/>
        <v>0</v>
      </c>
      <c r="CW20" s="47">
        <f t="shared" si="28"/>
        <v>279790523</v>
      </c>
      <c r="CX20" s="47">
        <f t="shared" si="28"/>
        <v>0</v>
      </c>
      <c r="CY20" s="47">
        <f t="shared" si="28"/>
        <v>0</v>
      </c>
      <c r="CZ20" s="47">
        <f t="shared" si="28"/>
        <v>0</v>
      </c>
      <c r="DA20" s="47">
        <f t="shared" si="28"/>
        <v>0</v>
      </c>
      <c r="DB20" s="47">
        <f t="shared" si="28"/>
        <v>0</v>
      </c>
      <c r="DC20" s="47">
        <f t="shared" si="28"/>
        <v>0</v>
      </c>
      <c r="DD20" s="47">
        <f t="shared" si="28"/>
        <v>0</v>
      </c>
      <c r="DE20" s="47">
        <f t="shared" si="28"/>
        <v>7574543</v>
      </c>
      <c r="DF20" s="47">
        <f t="shared" si="28"/>
        <v>0</v>
      </c>
      <c r="DG20" s="47">
        <f t="shared" si="28"/>
        <v>0</v>
      </c>
      <c r="DH20" s="47">
        <f t="shared" si="28"/>
        <v>0</v>
      </c>
      <c r="DI20" s="47">
        <f t="shared" si="28"/>
        <v>0</v>
      </c>
      <c r="DJ20" s="47">
        <f t="shared" si="28"/>
        <v>0</v>
      </c>
      <c r="DK20" s="47">
        <f t="shared" si="28"/>
        <v>0</v>
      </c>
      <c r="DL20" s="49">
        <f t="shared" si="28"/>
        <v>77974971</v>
      </c>
      <c r="DN20" s="194" t="s">
        <v>386</v>
      </c>
      <c r="DO20" s="194"/>
      <c r="DP20" s="195">
        <v>1381230977</v>
      </c>
      <c r="DQ20" s="196">
        <v>616176877</v>
      </c>
      <c r="DR20" s="197">
        <v>0.4461</v>
      </c>
      <c r="DS20" s="189"/>
    </row>
    <row r="21" spans="1:123" ht="29.25" hidden="1" customHeight="1" thickTop="1" x14ac:dyDescent="0.25">
      <c r="A21" s="22" t="s">
        <v>85</v>
      </c>
      <c r="B21" s="235" t="s">
        <v>86</v>
      </c>
      <c r="C21" s="23" t="s">
        <v>87</v>
      </c>
      <c r="D21" s="24" t="s">
        <v>88</v>
      </c>
      <c r="E21" s="25">
        <v>410</v>
      </c>
      <c r="F21" s="51" t="s">
        <v>89</v>
      </c>
      <c r="G21" s="27">
        <f t="shared" ref="G21:G57" si="29">SUM(H21:AA21)</f>
        <v>450000000</v>
      </c>
      <c r="H21" s="52"/>
      <c r="I21" s="52"/>
      <c r="J21" s="27">
        <v>450000000</v>
      </c>
      <c r="K21" s="53"/>
      <c r="L21" s="27"/>
      <c r="M21" s="52"/>
      <c r="N21" s="53"/>
      <c r="O21" s="53"/>
      <c r="P21" s="53"/>
      <c r="Q21" s="53"/>
      <c r="R21" s="54"/>
      <c r="S21" s="53"/>
      <c r="T21" s="53"/>
      <c r="U21" s="53"/>
      <c r="V21" s="53"/>
      <c r="W21" s="53"/>
      <c r="X21" s="53"/>
      <c r="Y21" s="53"/>
      <c r="Z21" s="53"/>
      <c r="AA21" s="53"/>
      <c r="AC21" s="55">
        <f t="shared" si="1"/>
        <v>0.28551611555555556</v>
      </c>
      <c r="AD21" s="27">
        <f t="shared" ref="AD21:AD57" si="30">SUM(AE21:AX21)</f>
        <v>128482252</v>
      </c>
      <c r="AE21" s="27"/>
      <c r="AF21" s="27"/>
      <c r="AG21" s="27">
        <f>+'[1]JUNIO 2016'!$M$713</f>
        <v>128482252</v>
      </c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9">
        <f t="shared" si="3"/>
        <v>0.71448388444444444</v>
      </c>
      <c r="AZ21" s="27">
        <f t="shared" ref="AZ21:AZ57" si="31">SUM(BA21:BT21)</f>
        <v>321517748</v>
      </c>
      <c r="BA21" s="27">
        <f t="shared" ref="BA21:BA57" si="32">+H21</f>
        <v>0</v>
      </c>
      <c r="BB21" s="27">
        <f t="shared" ref="BB21:BP57" si="33">I21-AF21</f>
        <v>0</v>
      </c>
      <c r="BC21" s="27">
        <f t="shared" si="33"/>
        <v>321517748</v>
      </c>
      <c r="BD21" s="27">
        <f t="shared" si="33"/>
        <v>0</v>
      </c>
      <c r="BE21" s="27">
        <f t="shared" ref="BE21:BP35" si="34">+L21-AI21</f>
        <v>0</v>
      </c>
      <c r="BF21" s="27">
        <f t="shared" si="34"/>
        <v>0</v>
      </c>
      <c r="BG21" s="27">
        <f t="shared" si="34"/>
        <v>0</v>
      </c>
      <c r="BH21" s="27">
        <f t="shared" si="34"/>
        <v>0</v>
      </c>
      <c r="BI21" s="27">
        <f t="shared" si="34"/>
        <v>0</v>
      </c>
      <c r="BJ21" s="27">
        <f t="shared" si="34"/>
        <v>0</v>
      </c>
      <c r="BK21" s="27">
        <f t="shared" si="34"/>
        <v>0</v>
      </c>
      <c r="BL21" s="27">
        <f t="shared" si="34"/>
        <v>0</v>
      </c>
      <c r="BM21" s="27">
        <f t="shared" si="34"/>
        <v>0</v>
      </c>
      <c r="BN21" s="27">
        <f t="shared" si="34"/>
        <v>0</v>
      </c>
      <c r="BO21" s="27">
        <f t="shared" si="34"/>
        <v>0</v>
      </c>
      <c r="BP21" s="27">
        <f t="shared" si="34"/>
        <v>0</v>
      </c>
      <c r="BQ21" s="27"/>
      <c r="BR21" s="27"/>
      <c r="BS21" s="27"/>
      <c r="BT21" s="27">
        <f t="shared" ref="BT21:BT35" si="35">+AA21-AX21</f>
        <v>0</v>
      </c>
      <c r="BU21" s="29">
        <f t="shared" si="10"/>
        <v>0.13826968000000001</v>
      </c>
      <c r="BV21" s="27">
        <f t="shared" ref="BV21:BV57" si="36">SUM(BW21:CP21)</f>
        <v>62221356</v>
      </c>
      <c r="BW21" s="27"/>
      <c r="BX21" s="27"/>
      <c r="BY21" s="27">
        <f>+'[1]JUNIO 2016'!$H$711</f>
        <v>62221356</v>
      </c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9">
        <f t="shared" si="12"/>
        <v>0.86173031999999994</v>
      </c>
      <c r="CR21" s="27">
        <f t="shared" ref="CR21:CR57" si="37">SUM(CS21:DL21)</f>
        <v>387778644</v>
      </c>
      <c r="CS21" s="27">
        <f t="shared" ref="CS21:CY57" si="38">H21-BW21</f>
        <v>0</v>
      </c>
      <c r="CT21" s="27">
        <f t="shared" si="38"/>
        <v>0</v>
      </c>
      <c r="CU21" s="27">
        <f t="shared" si="38"/>
        <v>387778644</v>
      </c>
      <c r="CV21" s="27">
        <f t="shared" si="38"/>
        <v>0</v>
      </c>
      <c r="CW21" s="27">
        <f t="shared" si="38"/>
        <v>0</v>
      </c>
      <c r="CX21" s="27">
        <f t="shared" si="38"/>
        <v>0</v>
      </c>
      <c r="CY21" s="27">
        <f t="shared" si="38"/>
        <v>0</v>
      </c>
      <c r="CZ21" s="27">
        <f t="shared" ref="CZ21:DB35" si="39">+O21-CD21</f>
        <v>0</v>
      </c>
      <c r="DA21" s="27">
        <f t="shared" si="39"/>
        <v>0</v>
      </c>
      <c r="DB21" s="27">
        <f t="shared" si="39"/>
        <v>0</v>
      </c>
      <c r="DC21" s="27">
        <f t="shared" ref="DC21:DH45" si="40">R21-CG21</f>
        <v>0</v>
      </c>
      <c r="DD21" s="27">
        <f t="shared" si="40"/>
        <v>0</v>
      </c>
      <c r="DE21" s="27">
        <f t="shared" si="40"/>
        <v>0</v>
      </c>
      <c r="DF21" s="27">
        <f t="shared" ref="DF21:DH29" si="41">+U21-CJ21</f>
        <v>0</v>
      </c>
      <c r="DG21" s="27">
        <f t="shared" si="41"/>
        <v>0</v>
      </c>
      <c r="DH21" s="27">
        <f t="shared" si="41"/>
        <v>0</v>
      </c>
      <c r="DI21" s="27"/>
      <c r="DJ21" s="27">
        <f t="shared" ref="DJ21:DL29" si="42">+Y21-CN21</f>
        <v>0</v>
      </c>
      <c r="DK21" s="27">
        <f t="shared" si="42"/>
        <v>0</v>
      </c>
      <c r="DL21" s="27">
        <f t="shared" si="42"/>
        <v>0</v>
      </c>
      <c r="DN21" s="193"/>
      <c r="DO21" s="193"/>
      <c r="DP21" s="193"/>
      <c r="DQ21" s="193"/>
      <c r="DR21" s="193"/>
    </row>
    <row r="22" spans="1:123" ht="30.75" hidden="1" customHeight="1" x14ac:dyDescent="0.25">
      <c r="A22" s="34"/>
      <c r="B22" s="230"/>
      <c r="C22" s="23" t="s">
        <v>90</v>
      </c>
      <c r="D22" s="24" t="s">
        <v>91</v>
      </c>
      <c r="E22" s="25">
        <v>410</v>
      </c>
      <c r="F22" s="26" t="s">
        <v>89</v>
      </c>
      <c r="G22" s="27">
        <f t="shared" si="29"/>
        <v>150000000</v>
      </c>
      <c r="H22" s="27"/>
      <c r="I22" s="27"/>
      <c r="J22" s="27">
        <v>150000000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C22" s="29">
        <f t="shared" si="1"/>
        <v>0.33333333333333331</v>
      </c>
      <c r="AD22" s="27">
        <f t="shared" si="30"/>
        <v>50000000</v>
      </c>
      <c r="AE22" s="27"/>
      <c r="AF22" s="27"/>
      <c r="AG22" s="27">
        <f>+'[5]ENERO 2016'!$M$253</f>
        <v>50000000</v>
      </c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9">
        <f t="shared" si="3"/>
        <v>0.66666666666666674</v>
      </c>
      <c r="AZ22" s="27">
        <f t="shared" si="31"/>
        <v>100000000</v>
      </c>
      <c r="BA22" s="27">
        <f t="shared" si="32"/>
        <v>0</v>
      </c>
      <c r="BB22" s="27">
        <f t="shared" si="33"/>
        <v>0</v>
      </c>
      <c r="BC22" s="27">
        <f t="shared" si="33"/>
        <v>100000000</v>
      </c>
      <c r="BD22" s="27">
        <f t="shared" si="33"/>
        <v>0</v>
      </c>
      <c r="BE22" s="27">
        <f t="shared" si="34"/>
        <v>0</v>
      </c>
      <c r="BF22" s="27">
        <f t="shared" si="34"/>
        <v>0</v>
      </c>
      <c r="BG22" s="27">
        <f t="shared" si="34"/>
        <v>0</v>
      </c>
      <c r="BH22" s="27">
        <f t="shared" si="34"/>
        <v>0</v>
      </c>
      <c r="BI22" s="27">
        <f t="shared" si="34"/>
        <v>0</v>
      </c>
      <c r="BJ22" s="27">
        <f t="shared" si="34"/>
        <v>0</v>
      </c>
      <c r="BK22" s="27">
        <f t="shared" si="34"/>
        <v>0</v>
      </c>
      <c r="BL22" s="27">
        <f t="shared" si="34"/>
        <v>0</v>
      </c>
      <c r="BM22" s="27">
        <f t="shared" si="34"/>
        <v>0</v>
      </c>
      <c r="BN22" s="27">
        <f t="shared" si="34"/>
        <v>0</v>
      </c>
      <c r="BO22" s="27">
        <f t="shared" si="34"/>
        <v>0</v>
      </c>
      <c r="BP22" s="27">
        <f t="shared" si="34"/>
        <v>0</v>
      </c>
      <c r="BQ22" s="27"/>
      <c r="BR22" s="27"/>
      <c r="BS22" s="27"/>
      <c r="BT22" s="27">
        <f t="shared" si="35"/>
        <v>0</v>
      </c>
      <c r="BU22" s="29">
        <f t="shared" si="10"/>
        <v>0.32020326666666665</v>
      </c>
      <c r="BV22" s="27">
        <f t="shared" si="36"/>
        <v>48030490</v>
      </c>
      <c r="BW22" s="27"/>
      <c r="BX22" s="27"/>
      <c r="BY22" s="27">
        <f>+'[2]MARZO 2016 ULTIMO'!$H$419</f>
        <v>48030490</v>
      </c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9">
        <f t="shared" si="12"/>
        <v>0.67979673333333335</v>
      </c>
      <c r="CR22" s="27">
        <f t="shared" si="37"/>
        <v>101969510</v>
      </c>
      <c r="CS22" s="27">
        <f t="shared" si="38"/>
        <v>0</v>
      </c>
      <c r="CT22" s="27">
        <f t="shared" si="38"/>
        <v>0</v>
      </c>
      <c r="CU22" s="27">
        <f t="shared" si="38"/>
        <v>101969510</v>
      </c>
      <c r="CV22" s="27">
        <f t="shared" si="38"/>
        <v>0</v>
      </c>
      <c r="CW22" s="27">
        <f t="shared" si="38"/>
        <v>0</v>
      </c>
      <c r="CX22" s="27">
        <f t="shared" si="38"/>
        <v>0</v>
      </c>
      <c r="CY22" s="27">
        <f t="shared" si="38"/>
        <v>0</v>
      </c>
      <c r="CZ22" s="27">
        <f t="shared" si="39"/>
        <v>0</v>
      </c>
      <c r="DA22" s="27">
        <f t="shared" si="39"/>
        <v>0</v>
      </c>
      <c r="DB22" s="27">
        <f t="shared" si="39"/>
        <v>0</v>
      </c>
      <c r="DC22" s="27">
        <f t="shared" si="40"/>
        <v>0</v>
      </c>
      <c r="DD22" s="27">
        <f t="shared" si="40"/>
        <v>0</v>
      </c>
      <c r="DE22" s="27">
        <f t="shared" si="40"/>
        <v>0</v>
      </c>
      <c r="DF22" s="27">
        <f t="shared" si="41"/>
        <v>0</v>
      </c>
      <c r="DG22" s="27">
        <f t="shared" si="41"/>
        <v>0</v>
      </c>
      <c r="DH22" s="27">
        <f t="shared" si="41"/>
        <v>0</v>
      </c>
      <c r="DI22" s="27"/>
      <c r="DJ22" s="27">
        <f t="shared" si="42"/>
        <v>0</v>
      </c>
      <c r="DK22" s="27">
        <f t="shared" si="42"/>
        <v>0</v>
      </c>
      <c r="DL22" s="27">
        <f t="shared" si="42"/>
        <v>0</v>
      </c>
      <c r="DN22" s="193"/>
      <c r="DO22" s="193"/>
      <c r="DP22" s="193"/>
      <c r="DQ22" s="193"/>
      <c r="DR22" s="193"/>
    </row>
    <row r="23" spans="1:123" ht="19.5" hidden="1" customHeight="1" x14ac:dyDescent="0.25">
      <c r="A23" s="34"/>
      <c r="B23" s="231"/>
      <c r="C23" s="23" t="s">
        <v>92</v>
      </c>
      <c r="D23" s="24" t="s">
        <v>93</v>
      </c>
      <c r="E23" s="25">
        <v>410</v>
      </c>
      <c r="F23" s="26" t="s">
        <v>89</v>
      </c>
      <c r="G23" s="27">
        <f t="shared" si="29"/>
        <v>200000000</v>
      </c>
      <c r="H23" s="27"/>
      <c r="I23" s="27"/>
      <c r="J23" s="27">
        <v>200000000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C23" s="29">
        <f t="shared" si="1"/>
        <v>1</v>
      </c>
      <c r="AD23" s="27">
        <f t="shared" si="30"/>
        <v>200000000</v>
      </c>
      <c r="AE23" s="27"/>
      <c r="AF23" s="27"/>
      <c r="AG23" s="27">
        <f>+'[5]ENERO 2016'!$M$259</f>
        <v>200000000</v>
      </c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9">
        <f t="shared" si="3"/>
        <v>0</v>
      </c>
      <c r="AZ23" s="27">
        <f t="shared" si="31"/>
        <v>0</v>
      </c>
      <c r="BA23" s="27">
        <f t="shared" si="32"/>
        <v>0</v>
      </c>
      <c r="BB23" s="27">
        <f t="shared" si="33"/>
        <v>0</v>
      </c>
      <c r="BC23" s="27">
        <f t="shared" si="33"/>
        <v>0</v>
      </c>
      <c r="BD23" s="27">
        <f t="shared" si="33"/>
        <v>0</v>
      </c>
      <c r="BE23" s="27">
        <f t="shared" si="34"/>
        <v>0</v>
      </c>
      <c r="BF23" s="27">
        <f t="shared" si="34"/>
        <v>0</v>
      </c>
      <c r="BG23" s="27">
        <f t="shared" si="34"/>
        <v>0</v>
      </c>
      <c r="BH23" s="27">
        <f t="shared" si="34"/>
        <v>0</v>
      </c>
      <c r="BI23" s="27">
        <f t="shared" si="34"/>
        <v>0</v>
      </c>
      <c r="BJ23" s="27">
        <f t="shared" si="34"/>
        <v>0</v>
      </c>
      <c r="BK23" s="27">
        <f t="shared" si="34"/>
        <v>0</v>
      </c>
      <c r="BL23" s="27">
        <f t="shared" si="34"/>
        <v>0</v>
      </c>
      <c r="BM23" s="27">
        <f t="shared" si="34"/>
        <v>0</v>
      </c>
      <c r="BN23" s="27">
        <f t="shared" si="34"/>
        <v>0</v>
      </c>
      <c r="BO23" s="27">
        <f t="shared" si="34"/>
        <v>0</v>
      </c>
      <c r="BP23" s="27">
        <f t="shared" si="34"/>
        <v>0</v>
      </c>
      <c r="BQ23" s="27"/>
      <c r="BR23" s="27"/>
      <c r="BS23" s="27"/>
      <c r="BT23" s="27">
        <f t="shared" si="35"/>
        <v>0</v>
      </c>
      <c r="BU23" s="29">
        <f t="shared" si="10"/>
        <v>0.64663207499999997</v>
      </c>
      <c r="BV23" s="27">
        <f t="shared" si="36"/>
        <v>129326415</v>
      </c>
      <c r="BW23" s="27"/>
      <c r="BX23" s="27"/>
      <c r="BY23" s="27">
        <f>+'[1]JUNIO 2016'!$H$732</f>
        <v>129326415</v>
      </c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9">
        <f t="shared" si="12"/>
        <v>0.35336792500000003</v>
      </c>
      <c r="CR23" s="27">
        <f t="shared" si="37"/>
        <v>70673585</v>
      </c>
      <c r="CS23" s="27">
        <f t="shared" si="38"/>
        <v>0</v>
      </c>
      <c r="CT23" s="27">
        <f t="shared" si="38"/>
        <v>0</v>
      </c>
      <c r="CU23" s="27">
        <f t="shared" si="38"/>
        <v>70673585</v>
      </c>
      <c r="CV23" s="27">
        <f t="shared" si="38"/>
        <v>0</v>
      </c>
      <c r="CW23" s="27">
        <f t="shared" si="38"/>
        <v>0</v>
      </c>
      <c r="CX23" s="27">
        <f t="shared" si="38"/>
        <v>0</v>
      </c>
      <c r="CY23" s="27">
        <f t="shared" si="38"/>
        <v>0</v>
      </c>
      <c r="CZ23" s="27">
        <f t="shared" si="39"/>
        <v>0</v>
      </c>
      <c r="DA23" s="27">
        <f t="shared" si="39"/>
        <v>0</v>
      </c>
      <c r="DB23" s="27">
        <f t="shared" si="39"/>
        <v>0</v>
      </c>
      <c r="DC23" s="27">
        <f t="shared" si="40"/>
        <v>0</v>
      </c>
      <c r="DD23" s="27">
        <f t="shared" si="40"/>
        <v>0</v>
      </c>
      <c r="DE23" s="27">
        <f t="shared" si="40"/>
        <v>0</v>
      </c>
      <c r="DF23" s="27">
        <f t="shared" si="41"/>
        <v>0</v>
      </c>
      <c r="DG23" s="27">
        <f t="shared" si="41"/>
        <v>0</v>
      </c>
      <c r="DH23" s="27">
        <f t="shared" si="41"/>
        <v>0</v>
      </c>
      <c r="DI23" s="27"/>
      <c r="DJ23" s="27">
        <f t="shared" si="42"/>
        <v>0</v>
      </c>
      <c r="DK23" s="27">
        <f t="shared" si="42"/>
        <v>0</v>
      </c>
      <c r="DL23" s="27">
        <f t="shared" si="42"/>
        <v>0</v>
      </c>
      <c r="DN23" s="193"/>
      <c r="DO23" s="193"/>
      <c r="DP23" s="193"/>
      <c r="DQ23" s="193"/>
      <c r="DR23" s="193"/>
    </row>
    <row r="24" spans="1:123" ht="24" hidden="1" customHeight="1" x14ac:dyDescent="0.25">
      <c r="A24" s="34"/>
      <c r="B24" s="229" t="s">
        <v>94</v>
      </c>
      <c r="C24" s="56" t="s">
        <v>95</v>
      </c>
      <c r="D24" s="24" t="s">
        <v>96</v>
      </c>
      <c r="E24" s="25">
        <v>410</v>
      </c>
      <c r="F24" s="26" t="s">
        <v>89</v>
      </c>
      <c r="G24" s="27">
        <f t="shared" si="29"/>
        <v>10000000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>
        <v>10000000</v>
      </c>
      <c r="W24" s="27"/>
      <c r="X24" s="27"/>
      <c r="Y24" s="27"/>
      <c r="Z24" s="27"/>
      <c r="AA24" s="27"/>
      <c r="AC24" s="29">
        <f t="shared" si="1"/>
        <v>0</v>
      </c>
      <c r="AD24" s="27">
        <f t="shared" si="30"/>
        <v>0</v>
      </c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9">
        <f t="shared" si="3"/>
        <v>1</v>
      </c>
      <c r="AZ24" s="27">
        <f t="shared" si="31"/>
        <v>10000000</v>
      </c>
      <c r="BA24" s="27">
        <f t="shared" si="32"/>
        <v>0</v>
      </c>
      <c r="BB24" s="27">
        <f t="shared" si="33"/>
        <v>0</v>
      </c>
      <c r="BC24" s="27">
        <f t="shared" si="33"/>
        <v>0</v>
      </c>
      <c r="BD24" s="27">
        <f t="shared" si="33"/>
        <v>0</v>
      </c>
      <c r="BE24" s="27">
        <f t="shared" si="34"/>
        <v>0</v>
      </c>
      <c r="BF24" s="27">
        <f t="shared" si="34"/>
        <v>0</v>
      </c>
      <c r="BG24" s="27">
        <f t="shared" si="34"/>
        <v>0</v>
      </c>
      <c r="BH24" s="27">
        <f t="shared" si="34"/>
        <v>0</v>
      </c>
      <c r="BI24" s="27">
        <f t="shared" si="34"/>
        <v>0</v>
      </c>
      <c r="BJ24" s="27">
        <f t="shared" si="34"/>
        <v>0</v>
      </c>
      <c r="BK24" s="27">
        <f t="shared" si="34"/>
        <v>0</v>
      </c>
      <c r="BL24" s="27">
        <f t="shared" si="34"/>
        <v>0</v>
      </c>
      <c r="BM24" s="27">
        <f t="shared" si="34"/>
        <v>0</v>
      </c>
      <c r="BN24" s="27">
        <f t="shared" si="34"/>
        <v>0</v>
      </c>
      <c r="BO24" s="27">
        <f t="shared" si="34"/>
        <v>10000000</v>
      </c>
      <c r="BP24" s="27">
        <f t="shared" si="34"/>
        <v>0</v>
      </c>
      <c r="BQ24" s="27"/>
      <c r="BR24" s="27"/>
      <c r="BS24" s="27"/>
      <c r="BT24" s="27">
        <f t="shared" si="35"/>
        <v>0</v>
      </c>
      <c r="BU24" s="29">
        <f t="shared" si="10"/>
        <v>0</v>
      </c>
      <c r="BV24" s="27">
        <f t="shared" si="36"/>
        <v>0</v>
      </c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9">
        <f t="shared" si="12"/>
        <v>1</v>
      </c>
      <c r="CR24" s="27">
        <f t="shared" si="37"/>
        <v>10000000</v>
      </c>
      <c r="CS24" s="27">
        <f t="shared" si="38"/>
        <v>0</v>
      </c>
      <c r="CT24" s="27">
        <f t="shared" si="38"/>
        <v>0</v>
      </c>
      <c r="CU24" s="27">
        <f t="shared" si="38"/>
        <v>0</v>
      </c>
      <c r="CV24" s="27">
        <f t="shared" si="38"/>
        <v>0</v>
      </c>
      <c r="CW24" s="27">
        <f t="shared" si="38"/>
        <v>0</v>
      </c>
      <c r="CX24" s="27">
        <f t="shared" si="38"/>
        <v>0</v>
      </c>
      <c r="CY24" s="27">
        <f t="shared" si="38"/>
        <v>0</v>
      </c>
      <c r="CZ24" s="27">
        <f t="shared" si="39"/>
        <v>0</v>
      </c>
      <c r="DA24" s="27">
        <f t="shared" si="39"/>
        <v>0</v>
      </c>
      <c r="DB24" s="27">
        <f t="shared" si="39"/>
        <v>0</v>
      </c>
      <c r="DC24" s="27">
        <f t="shared" si="40"/>
        <v>0</v>
      </c>
      <c r="DD24" s="27">
        <f t="shared" si="40"/>
        <v>0</v>
      </c>
      <c r="DE24" s="27">
        <f t="shared" si="40"/>
        <v>0</v>
      </c>
      <c r="DF24" s="27">
        <f t="shared" si="41"/>
        <v>0</v>
      </c>
      <c r="DG24" s="27">
        <f t="shared" si="41"/>
        <v>10000000</v>
      </c>
      <c r="DH24" s="27">
        <f t="shared" si="41"/>
        <v>0</v>
      </c>
      <c r="DI24" s="27"/>
      <c r="DJ24" s="27">
        <f t="shared" si="42"/>
        <v>0</v>
      </c>
      <c r="DK24" s="27">
        <f t="shared" si="42"/>
        <v>0</v>
      </c>
      <c r="DL24" s="27">
        <f t="shared" si="42"/>
        <v>0</v>
      </c>
      <c r="DN24" s="193"/>
      <c r="DO24" s="193"/>
      <c r="DP24" s="193"/>
      <c r="DQ24" s="193"/>
      <c r="DR24" s="193"/>
    </row>
    <row r="25" spans="1:123" ht="24" hidden="1" customHeight="1" x14ac:dyDescent="0.25">
      <c r="A25" s="34"/>
      <c r="B25" s="230"/>
      <c r="C25" s="23" t="s">
        <v>97</v>
      </c>
      <c r="D25" s="24" t="s">
        <v>98</v>
      </c>
      <c r="E25" s="25">
        <v>410</v>
      </c>
      <c r="F25" s="26" t="s">
        <v>99</v>
      </c>
      <c r="G25" s="27">
        <f t="shared" si="29"/>
        <v>10000000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>
        <v>10000000</v>
      </c>
      <c r="W25" s="27"/>
      <c r="X25" s="27"/>
      <c r="Y25" s="27"/>
      <c r="Z25" s="27"/>
      <c r="AA25" s="27"/>
      <c r="AC25" s="29">
        <f t="shared" si="1"/>
        <v>1</v>
      </c>
      <c r="AD25" s="27">
        <f t="shared" si="30"/>
        <v>10000000</v>
      </c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>
        <f>+'[4]ABRIL 2016'!$Y$572</f>
        <v>10000000</v>
      </c>
      <c r="AT25" s="27"/>
      <c r="AU25" s="27"/>
      <c r="AV25" s="27"/>
      <c r="AW25" s="27"/>
      <c r="AX25" s="27"/>
      <c r="AY25" s="29">
        <f t="shared" si="3"/>
        <v>0</v>
      </c>
      <c r="AZ25" s="27">
        <f t="shared" si="31"/>
        <v>0</v>
      </c>
      <c r="BA25" s="27">
        <f t="shared" si="32"/>
        <v>0</v>
      </c>
      <c r="BB25" s="27">
        <f t="shared" si="33"/>
        <v>0</v>
      </c>
      <c r="BC25" s="27">
        <f t="shared" si="33"/>
        <v>0</v>
      </c>
      <c r="BD25" s="27">
        <f t="shared" si="33"/>
        <v>0</v>
      </c>
      <c r="BE25" s="27">
        <f t="shared" si="34"/>
        <v>0</v>
      </c>
      <c r="BF25" s="27">
        <f t="shared" si="34"/>
        <v>0</v>
      </c>
      <c r="BG25" s="27">
        <f t="shared" si="34"/>
        <v>0</v>
      </c>
      <c r="BH25" s="27">
        <f t="shared" si="34"/>
        <v>0</v>
      </c>
      <c r="BI25" s="27">
        <f t="shared" si="34"/>
        <v>0</v>
      </c>
      <c r="BJ25" s="27">
        <f t="shared" si="34"/>
        <v>0</v>
      </c>
      <c r="BK25" s="27">
        <f t="shared" si="34"/>
        <v>0</v>
      </c>
      <c r="BL25" s="27">
        <f t="shared" si="34"/>
        <v>0</v>
      </c>
      <c r="BM25" s="27">
        <f t="shared" si="34"/>
        <v>0</v>
      </c>
      <c r="BN25" s="27">
        <f t="shared" si="34"/>
        <v>0</v>
      </c>
      <c r="BO25" s="27">
        <f t="shared" si="34"/>
        <v>0</v>
      </c>
      <c r="BP25" s="27">
        <f t="shared" si="34"/>
        <v>0</v>
      </c>
      <c r="BQ25" s="27"/>
      <c r="BR25" s="27"/>
      <c r="BS25" s="27"/>
      <c r="BT25" s="27">
        <f t="shared" si="35"/>
        <v>0</v>
      </c>
      <c r="BU25" s="29">
        <f t="shared" si="10"/>
        <v>1</v>
      </c>
      <c r="BV25" s="27">
        <f t="shared" si="36"/>
        <v>10000000</v>
      </c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>
        <f>+'[4]ABRIL 2016'!$Y$572</f>
        <v>10000000</v>
      </c>
      <c r="CL25" s="27"/>
      <c r="CM25" s="27"/>
      <c r="CN25" s="27"/>
      <c r="CO25" s="27"/>
      <c r="CP25" s="27"/>
      <c r="CQ25" s="29">
        <f t="shared" si="12"/>
        <v>0</v>
      </c>
      <c r="CR25" s="27">
        <f t="shared" si="37"/>
        <v>0</v>
      </c>
      <c r="CS25" s="27">
        <f t="shared" si="38"/>
        <v>0</v>
      </c>
      <c r="CT25" s="27">
        <f t="shared" si="38"/>
        <v>0</v>
      </c>
      <c r="CU25" s="27">
        <f t="shared" si="38"/>
        <v>0</v>
      </c>
      <c r="CV25" s="27">
        <f t="shared" si="38"/>
        <v>0</v>
      </c>
      <c r="CW25" s="27">
        <f t="shared" si="38"/>
        <v>0</v>
      </c>
      <c r="CX25" s="27">
        <f t="shared" si="38"/>
        <v>0</v>
      </c>
      <c r="CY25" s="27">
        <f t="shared" si="38"/>
        <v>0</v>
      </c>
      <c r="CZ25" s="27">
        <f t="shared" si="39"/>
        <v>0</v>
      </c>
      <c r="DA25" s="27">
        <f t="shared" si="39"/>
        <v>0</v>
      </c>
      <c r="DB25" s="27">
        <f t="shared" si="39"/>
        <v>0</v>
      </c>
      <c r="DC25" s="27">
        <f t="shared" si="40"/>
        <v>0</v>
      </c>
      <c r="DD25" s="27">
        <f t="shared" si="40"/>
        <v>0</v>
      </c>
      <c r="DE25" s="27">
        <f t="shared" si="40"/>
        <v>0</v>
      </c>
      <c r="DF25" s="27">
        <f t="shared" si="41"/>
        <v>0</v>
      </c>
      <c r="DG25" s="27">
        <f t="shared" si="41"/>
        <v>0</v>
      </c>
      <c r="DH25" s="27">
        <f t="shared" si="41"/>
        <v>0</v>
      </c>
      <c r="DI25" s="27"/>
      <c r="DJ25" s="27">
        <f t="shared" si="42"/>
        <v>0</v>
      </c>
      <c r="DK25" s="27">
        <f t="shared" si="42"/>
        <v>0</v>
      </c>
      <c r="DL25" s="27">
        <f t="shared" si="42"/>
        <v>0</v>
      </c>
      <c r="DN25" s="193"/>
      <c r="DO25" s="193"/>
      <c r="DP25" s="193"/>
      <c r="DQ25" s="193"/>
      <c r="DR25" s="193"/>
    </row>
    <row r="26" spans="1:123" ht="29.25" hidden="1" customHeight="1" x14ac:dyDescent="0.25">
      <c r="A26" s="34"/>
      <c r="B26" s="230"/>
      <c r="C26" s="23" t="s">
        <v>100</v>
      </c>
      <c r="D26" s="24" t="s">
        <v>101</v>
      </c>
      <c r="E26" s="25">
        <v>410</v>
      </c>
      <c r="F26" s="26" t="s">
        <v>99</v>
      </c>
      <c r="G26" s="27">
        <f t="shared" si="29"/>
        <v>0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>
        <f>20000000-20000000</f>
        <v>0</v>
      </c>
      <c r="W26" s="27"/>
      <c r="X26" s="27"/>
      <c r="Y26" s="27"/>
      <c r="Z26" s="27"/>
      <c r="AA26" s="27"/>
      <c r="AC26" s="29" t="e">
        <f t="shared" si="1"/>
        <v>#DIV/0!</v>
      </c>
      <c r="AD26" s="27">
        <f t="shared" si="30"/>
        <v>0</v>
      </c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9" t="e">
        <f t="shared" si="3"/>
        <v>#DIV/0!</v>
      </c>
      <c r="AZ26" s="27">
        <f t="shared" si="31"/>
        <v>0</v>
      </c>
      <c r="BA26" s="27">
        <f t="shared" si="32"/>
        <v>0</v>
      </c>
      <c r="BB26" s="27">
        <f t="shared" si="33"/>
        <v>0</v>
      </c>
      <c r="BC26" s="27">
        <f t="shared" si="33"/>
        <v>0</v>
      </c>
      <c r="BD26" s="27">
        <f t="shared" si="33"/>
        <v>0</v>
      </c>
      <c r="BE26" s="27">
        <f t="shared" si="34"/>
        <v>0</v>
      </c>
      <c r="BF26" s="27">
        <f t="shared" si="34"/>
        <v>0</v>
      </c>
      <c r="BG26" s="27">
        <f t="shared" si="34"/>
        <v>0</v>
      </c>
      <c r="BH26" s="27">
        <f t="shared" si="34"/>
        <v>0</v>
      </c>
      <c r="BI26" s="27">
        <f t="shared" si="34"/>
        <v>0</v>
      </c>
      <c r="BJ26" s="27">
        <f t="shared" si="34"/>
        <v>0</v>
      </c>
      <c r="BK26" s="27">
        <f t="shared" si="34"/>
        <v>0</v>
      </c>
      <c r="BL26" s="27">
        <f t="shared" si="34"/>
        <v>0</v>
      </c>
      <c r="BM26" s="27">
        <f t="shared" si="34"/>
        <v>0</v>
      </c>
      <c r="BN26" s="27">
        <f t="shared" si="34"/>
        <v>0</v>
      </c>
      <c r="BO26" s="27">
        <f t="shared" si="34"/>
        <v>0</v>
      </c>
      <c r="BP26" s="27">
        <f t="shared" si="34"/>
        <v>0</v>
      </c>
      <c r="BQ26" s="27"/>
      <c r="BR26" s="27"/>
      <c r="BS26" s="27"/>
      <c r="BT26" s="27">
        <f t="shared" si="35"/>
        <v>0</v>
      </c>
      <c r="BU26" s="29" t="e">
        <f t="shared" si="10"/>
        <v>#DIV/0!</v>
      </c>
      <c r="BV26" s="27">
        <f t="shared" si="36"/>
        <v>0</v>
      </c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9" t="e">
        <f t="shared" si="12"/>
        <v>#DIV/0!</v>
      </c>
      <c r="CR26" s="27">
        <f t="shared" si="37"/>
        <v>0</v>
      </c>
      <c r="CS26" s="27">
        <f t="shared" si="38"/>
        <v>0</v>
      </c>
      <c r="CT26" s="27">
        <f t="shared" si="38"/>
        <v>0</v>
      </c>
      <c r="CU26" s="27">
        <f t="shared" si="38"/>
        <v>0</v>
      </c>
      <c r="CV26" s="27">
        <f t="shared" si="38"/>
        <v>0</v>
      </c>
      <c r="CW26" s="27">
        <f t="shared" si="38"/>
        <v>0</v>
      </c>
      <c r="CX26" s="27">
        <f t="shared" si="38"/>
        <v>0</v>
      </c>
      <c r="CY26" s="27">
        <f t="shared" si="38"/>
        <v>0</v>
      </c>
      <c r="CZ26" s="27">
        <f t="shared" si="39"/>
        <v>0</v>
      </c>
      <c r="DA26" s="27">
        <f t="shared" si="39"/>
        <v>0</v>
      </c>
      <c r="DB26" s="27">
        <f t="shared" si="39"/>
        <v>0</v>
      </c>
      <c r="DC26" s="27">
        <f t="shared" si="40"/>
        <v>0</v>
      </c>
      <c r="DD26" s="27">
        <f t="shared" si="40"/>
        <v>0</v>
      </c>
      <c r="DE26" s="27">
        <f t="shared" si="40"/>
        <v>0</v>
      </c>
      <c r="DF26" s="27">
        <f t="shared" si="41"/>
        <v>0</v>
      </c>
      <c r="DG26" s="27">
        <f t="shared" si="41"/>
        <v>0</v>
      </c>
      <c r="DH26" s="27">
        <f t="shared" si="41"/>
        <v>0</v>
      </c>
      <c r="DI26" s="27"/>
      <c r="DJ26" s="27">
        <f t="shared" si="42"/>
        <v>0</v>
      </c>
      <c r="DK26" s="27">
        <f t="shared" si="42"/>
        <v>0</v>
      </c>
      <c r="DL26" s="27">
        <f t="shared" si="42"/>
        <v>0</v>
      </c>
      <c r="DN26" s="193"/>
      <c r="DO26" s="193"/>
      <c r="DP26" s="193"/>
      <c r="DQ26" s="193"/>
      <c r="DR26" s="193"/>
    </row>
    <row r="27" spans="1:123" ht="36.75" hidden="1" customHeight="1" x14ac:dyDescent="0.25">
      <c r="A27" s="34"/>
      <c r="B27" s="230"/>
      <c r="C27" s="23" t="s">
        <v>102</v>
      </c>
      <c r="D27" s="24" t="s">
        <v>103</v>
      </c>
      <c r="E27" s="25">
        <v>410</v>
      </c>
      <c r="F27" s="26" t="s">
        <v>99</v>
      </c>
      <c r="G27" s="27">
        <f t="shared" si="29"/>
        <v>27000000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>
        <f>50000000-23000000</f>
        <v>27000000</v>
      </c>
      <c r="W27" s="27"/>
      <c r="X27" s="27"/>
      <c r="Y27" s="27"/>
      <c r="Z27" s="27"/>
      <c r="AA27" s="27"/>
      <c r="AC27" s="29">
        <f t="shared" si="1"/>
        <v>1</v>
      </c>
      <c r="AD27" s="27">
        <f t="shared" si="30"/>
        <v>27000000</v>
      </c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>
        <f>+'[4]ABRIL 2016'!$Y$585</f>
        <v>27000000</v>
      </c>
      <c r="AT27" s="27"/>
      <c r="AU27" s="27"/>
      <c r="AV27" s="27"/>
      <c r="AW27" s="27"/>
      <c r="AX27" s="27"/>
      <c r="AY27" s="29">
        <f t="shared" si="3"/>
        <v>0</v>
      </c>
      <c r="AZ27" s="27">
        <f t="shared" si="31"/>
        <v>0</v>
      </c>
      <c r="BA27" s="27">
        <f t="shared" si="32"/>
        <v>0</v>
      </c>
      <c r="BB27" s="27">
        <f t="shared" si="33"/>
        <v>0</v>
      </c>
      <c r="BC27" s="27">
        <f t="shared" si="33"/>
        <v>0</v>
      </c>
      <c r="BD27" s="27">
        <f t="shared" si="33"/>
        <v>0</v>
      </c>
      <c r="BE27" s="27">
        <f t="shared" si="34"/>
        <v>0</v>
      </c>
      <c r="BF27" s="27">
        <f t="shared" si="34"/>
        <v>0</v>
      </c>
      <c r="BG27" s="27">
        <f t="shared" si="34"/>
        <v>0</v>
      </c>
      <c r="BH27" s="27">
        <f t="shared" si="34"/>
        <v>0</v>
      </c>
      <c r="BI27" s="27">
        <f t="shared" si="34"/>
        <v>0</v>
      </c>
      <c r="BJ27" s="27">
        <f t="shared" si="34"/>
        <v>0</v>
      </c>
      <c r="BK27" s="27">
        <f t="shared" si="34"/>
        <v>0</v>
      </c>
      <c r="BL27" s="27">
        <f t="shared" si="34"/>
        <v>0</v>
      </c>
      <c r="BM27" s="27">
        <f t="shared" si="34"/>
        <v>0</v>
      </c>
      <c r="BN27" s="27">
        <f t="shared" si="34"/>
        <v>0</v>
      </c>
      <c r="BO27" s="27">
        <f t="shared" si="34"/>
        <v>0</v>
      </c>
      <c r="BP27" s="27">
        <f t="shared" si="34"/>
        <v>0</v>
      </c>
      <c r="BQ27" s="27"/>
      <c r="BR27" s="27"/>
      <c r="BS27" s="27"/>
      <c r="BT27" s="27">
        <f t="shared" si="35"/>
        <v>0</v>
      </c>
      <c r="BU27" s="29">
        <f t="shared" si="10"/>
        <v>0.57851851851851854</v>
      </c>
      <c r="BV27" s="27">
        <f t="shared" si="36"/>
        <v>15620000</v>
      </c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>
        <f>+'[1]JUNIO 2016'!$H$781</f>
        <v>15620000</v>
      </c>
      <c r="CL27" s="27"/>
      <c r="CM27" s="27"/>
      <c r="CN27" s="27"/>
      <c r="CO27" s="27"/>
      <c r="CP27" s="27"/>
      <c r="CQ27" s="29">
        <f t="shared" si="12"/>
        <v>0.42148148148148146</v>
      </c>
      <c r="CR27" s="27">
        <f t="shared" si="37"/>
        <v>11380000</v>
      </c>
      <c r="CS27" s="27">
        <f t="shared" si="38"/>
        <v>0</v>
      </c>
      <c r="CT27" s="27">
        <f t="shared" si="38"/>
        <v>0</v>
      </c>
      <c r="CU27" s="27">
        <f t="shared" si="38"/>
        <v>0</v>
      </c>
      <c r="CV27" s="27">
        <f t="shared" si="38"/>
        <v>0</v>
      </c>
      <c r="CW27" s="27">
        <f t="shared" si="38"/>
        <v>0</v>
      </c>
      <c r="CX27" s="27">
        <f t="shared" si="38"/>
        <v>0</v>
      </c>
      <c r="CY27" s="27">
        <f t="shared" si="38"/>
        <v>0</v>
      </c>
      <c r="CZ27" s="27">
        <f t="shared" si="39"/>
        <v>0</v>
      </c>
      <c r="DA27" s="27">
        <f t="shared" si="39"/>
        <v>0</v>
      </c>
      <c r="DB27" s="27">
        <f t="shared" si="39"/>
        <v>0</v>
      </c>
      <c r="DC27" s="27">
        <f t="shared" si="40"/>
        <v>0</v>
      </c>
      <c r="DD27" s="27">
        <f t="shared" si="40"/>
        <v>0</v>
      </c>
      <c r="DE27" s="27">
        <f t="shared" si="40"/>
        <v>0</v>
      </c>
      <c r="DF27" s="27">
        <f t="shared" si="41"/>
        <v>0</v>
      </c>
      <c r="DG27" s="27">
        <f t="shared" si="41"/>
        <v>11380000</v>
      </c>
      <c r="DH27" s="27">
        <f t="shared" si="41"/>
        <v>0</v>
      </c>
      <c r="DI27" s="27"/>
      <c r="DJ27" s="27">
        <f t="shared" si="42"/>
        <v>0</v>
      </c>
      <c r="DK27" s="27">
        <f t="shared" si="42"/>
        <v>0</v>
      </c>
      <c r="DL27" s="27">
        <f t="shared" si="42"/>
        <v>0</v>
      </c>
      <c r="DN27" s="193"/>
      <c r="DO27" s="193"/>
      <c r="DP27" s="193"/>
      <c r="DQ27" s="193"/>
      <c r="DR27" s="193"/>
    </row>
    <row r="28" spans="1:123" ht="23.25" hidden="1" customHeight="1" x14ac:dyDescent="0.25">
      <c r="A28" s="34"/>
      <c r="B28" s="230"/>
      <c r="C28" s="23" t="s">
        <v>104</v>
      </c>
      <c r="D28" s="24" t="s">
        <v>105</v>
      </c>
      <c r="E28" s="25">
        <v>410</v>
      </c>
      <c r="F28" s="26" t="s">
        <v>106</v>
      </c>
      <c r="G28" s="27">
        <f t="shared" si="29"/>
        <v>105000000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>
        <v>100000000</v>
      </c>
      <c r="W28" s="27"/>
      <c r="X28" s="27"/>
      <c r="Y28" s="27"/>
      <c r="Z28" s="27"/>
      <c r="AA28" s="27">
        <v>5000000</v>
      </c>
      <c r="AC28" s="29">
        <f t="shared" si="1"/>
        <v>0.76282810476190477</v>
      </c>
      <c r="AD28" s="27">
        <f t="shared" si="30"/>
        <v>80096951</v>
      </c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>
        <f>+'[1]JUNIO 2016'!$Y$793</f>
        <v>78946451</v>
      </c>
      <c r="AT28" s="27"/>
      <c r="AU28" s="27"/>
      <c r="AV28" s="27"/>
      <c r="AW28" s="27"/>
      <c r="AX28" s="27">
        <v>1150500</v>
      </c>
      <c r="AY28" s="29">
        <f t="shared" si="3"/>
        <v>0.23717189523809523</v>
      </c>
      <c r="AZ28" s="27">
        <f t="shared" si="31"/>
        <v>24903049</v>
      </c>
      <c r="BA28" s="27">
        <f t="shared" si="32"/>
        <v>0</v>
      </c>
      <c r="BB28" s="27">
        <f t="shared" si="33"/>
        <v>0</v>
      </c>
      <c r="BC28" s="27">
        <f t="shared" si="33"/>
        <v>0</v>
      </c>
      <c r="BD28" s="27">
        <f t="shared" si="33"/>
        <v>0</v>
      </c>
      <c r="BE28" s="27">
        <f t="shared" si="34"/>
        <v>0</v>
      </c>
      <c r="BF28" s="27">
        <f t="shared" si="34"/>
        <v>0</v>
      </c>
      <c r="BG28" s="27">
        <f t="shared" si="34"/>
        <v>0</v>
      </c>
      <c r="BH28" s="27">
        <f t="shared" si="34"/>
        <v>0</v>
      </c>
      <c r="BI28" s="27">
        <f t="shared" si="34"/>
        <v>0</v>
      </c>
      <c r="BJ28" s="27">
        <f t="shared" si="34"/>
        <v>0</v>
      </c>
      <c r="BK28" s="27">
        <f t="shared" si="34"/>
        <v>0</v>
      </c>
      <c r="BL28" s="27">
        <f t="shared" si="34"/>
        <v>0</v>
      </c>
      <c r="BM28" s="27">
        <f t="shared" si="34"/>
        <v>0</v>
      </c>
      <c r="BN28" s="27">
        <f t="shared" si="34"/>
        <v>0</v>
      </c>
      <c r="BO28" s="27">
        <f t="shared" si="34"/>
        <v>21053549</v>
      </c>
      <c r="BP28" s="27">
        <f t="shared" si="34"/>
        <v>0</v>
      </c>
      <c r="BQ28" s="27"/>
      <c r="BR28" s="27"/>
      <c r="BS28" s="27"/>
      <c r="BT28" s="27">
        <f t="shared" si="35"/>
        <v>3849500</v>
      </c>
      <c r="BU28" s="29">
        <f t="shared" si="10"/>
        <v>0.54172334285714285</v>
      </c>
      <c r="BV28" s="27">
        <f t="shared" si="36"/>
        <v>56880951</v>
      </c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>
        <f>+'[1]JUNIO 2016'!$H$791-CP28</f>
        <v>55730451</v>
      </c>
      <c r="CL28" s="27"/>
      <c r="CM28" s="27"/>
      <c r="CN28" s="27"/>
      <c r="CO28" s="27"/>
      <c r="CP28" s="27">
        <v>1150500</v>
      </c>
      <c r="CQ28" s="29">
        <f t="shared" si="12"/>
        <v>0.45827665714285715</v>
      </c>
      <c r="CR28" s="27">
        <f t="shared" si="37"/>
        <v>48119049</v>
      </c>
      <c r="CS28" s="27">
        <f t="shared" si="38"/>
        <v>0</v>
      </c>
      <c r="CT28" s="27">
        <f t="shared" si="38"/>
        <v>0</v>
      </c>
      <c r="CU28" s="27">
        <f t="shared" si="38"/>
        <v>0</v>
      </c>
      <c r="CV28" s="27">
        <f t="shared" si="38"/>
        <v>0</v>
      </c>
      <c r="CW28" s="27">
        <f t="shared" si="38"/>
        <v>0</v>
      </c>
      <c r="CX28" s="27">
        <f t="shared" si="38"/>
        <v>0</v>
      </c>
      <c r="CY28" s="27">
        <f t="shared" si="38"/>
        <v>0</v>
      </c>
      <c r="CZ28" s="27">
        <f t="shared" si="39"/>
        <v>0</v>
      </c>
      <c r="DA28" s="27">
        <f t="shared" si="39"/>
        <v>0</v>
      </c>
      <c r="DB28" s="27">
        <f t="shared" si="39"/>
        <v>0</v>
      </c>
      <c r="DC28" s="27">
        <f t="shared" si="40"/>
        <v>0</v>
      </c>
      <c r="DD28" s="27">
        <f t="shared" si="40"/>
        <v>0</v>
      </c>
      <c r="DE28" s="27">
        <f t="shared" si="40"/>
        <v>0</v>
      </c>
      <c r="DF28" s="27">
        <f t="shared" si="41"/>
        <v>0</v>
      </c>
      <c r="DG28" s="27">
        <f t="shared" si="41"/>
        <v>44269549</v>
      </c>
      <c r="DH28" s="27">
        <f t="shared" si="41"/>
        <v>0</v>
      </c>
      <c r="DI28" s="27"/>
      <c r="DJ28" s="27">
        <f t="shared" si="42"/>
        <v>0</v>
      </c>
      <c r="DK28" s="27">
        <f t="shared" si="42"/>
        <v>0</v>
      </c>
      <c r="DL28" s="27">
        <f t="shared" si="42"/>
        <v>3849500</v>
      </c>
      <c r="DN28" s="193"/>
      <c r="DO28" s="193"/>
      <c r="DP28" s="193"/>
      <c r="DQ28" s="193"/>
      <c r="DR28" s="193"/>
    </row>
    <row r="29" spans="1:123" ht="23.25" hidden="1" customHeight="1" x14ac:dyDescent="0.25">
      <c r="A29" s="34"/>
      <c r="B29" s="230"/>
      <c r="C29" s="23" t="s">
        <v>107</v>
      </c>
      <c r="D29" s="24" t="s">
        <v>108</v>
      </c>
      <c r="E29" s="25">
        <v>410</v>
      </c>
      <c r="F29" s="26" t="s">
        <v>99</v>
      </c>
      <c r="G29" s="27">
        <f t="shared" si="29"/>
        <v>100000000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>
        <v>100000000</v>
      </c>
      <c r="W29" s="27"/>
      <c r="X29" s="27"/>
      <c r="Y29" s="27"/>
      <c r="Z29" s="27"/>
      <c r="AA29" s="27"/>
      <c r="AC29" s="29">
        <f t="shared" si="1"/>
        <v>0.78837499</v>
      </c>
      <c r="AD29" s="27">
        <f t="shared" si="30"/>
        <v>78837499</v>
      </c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>
        <f>+'[1]JUNIO 2016'!$Y$835</f>
        <v>78837499</v>
      </c>
      <c r="AT29" s="27"/>
      <c r="AU29" s="27"/>
      <c r="AV29" s="27"/>
      <c r="AW29" s="27"/>
      <c r="AX29" s="27"/>
      <c r="AY29" s="29">
        <f t="shared" si="3"/>
        <v>0.21162501</v>
      </c>
      <c r="AZ29" s="27">
        <f t="shared" si="31"/>
        <v>21162501</v>
      </c>
      <c r="BA29" s="27">
        <f t="shared" si="32"/>
        <v>0</v>
      </c>
      <c r="BB29" s="27">
        <f t="shared" si="33"/>
        <v>0</v>
      </c>
      <c r="BC29" s="27">
        <f t="shared" si="33"/>
        <v>0</v>
      </c>
      <c r="BD29" s="27">
        <f t="shared" si="33"/>
        <v>0</v>
      </c>
      <c r="BE29" s="27">
        <f t="shared" si="34"/>
        <v>0</v>
      </c>
      <c r="BF29" s="27">
        <f t="shared" si="34"/>
        <v>0</v>
      </c>
      <c r="BG29" s="27">
        <f t="shared" si="34"/>
        <v>0</v>
      </c>
      <c r="BH29" s="27">
        <f t="shared" si="34"/>
        <v>0</v>
      </c>
      <c r="BI29" s="27">
        <f t="shared" si="34"/>
        <v>0</v>
      </c>
      <c r="BJ29" s="27">
        <f t="shared" si="34"/>
        <v>0</v>
      </c>
      <c r="BK29" s="27">
        <f t="shared" si="34"/>
        <v>0</v>
      </c>
      <c r="BL29" s="27">
        <f t="shared" si="34"/>
        <v>0</v>
      </c>
      <c r="BM29" s="27">
        <f t="shared" si="34"/>
        <v>0</v>
      </c>
      <c r="BN29" s="27">
        <f t="shared" si="34"/>
        <v>0</v>
      </c>
      <c r="BO29" s="27">
        <f t="shared" si="34"/>
        <v>21162501</v>
      </c>
      <c r="BP29" s="27">
        <f t="shared" si="34"/>
        <v>0</v>
      </c>
      <c r="BQ29" s="27"/>
      <c r="BR29" s="27"/>
      <c r="BS29" s="27"/>
      <c r="BT29" s="27">
        <f t="shared" si="35"/>
        <v>0</v>
      </c>
      <c r="BU29" s="29">
        <f t="shared" si="10"/>
        <v>0.78837499</v>
      </c>
      <c r="BV29" s="27">
        <f t="shared" si="36"/>
        <v>78837499</v>
      </c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>
        <f>+'[1]JUNIO 2016'!$H$833</f>
        <v>78837499</v>
      </c>
      <c r="CL29" s="27"/>
      <c r="CM29" s="27"/>
      <c r="CN29" s="27"/>
      <c r="CO29" s="27"/>
      <c r="CP29" s="27"/>
      <c r="CQ29" s="29">
        <f t="shared" si="12"/>
        <v>0.21162501</v>
      </c>
      <c r="CR29" s="27">
        <f t="shared" si="37"/>
        <v>21162501</v>
      </c>
      <c r="CS29" s="27">
        <f t="shared" si="38"/>
        <v>0</v>
      </c>
      <c r="CT29" s="27">
        <f t="shared" si="38"/>
        <v>0</v>
      </c>
      <c r="CU29" s="27">
        <f t="shared" si="38"/>
        <v>0</v>
      </c>
      <c r="CV29" s="27">
        <f t="shared" si="38"/>
        <v>0</v>
      </c>
      <c r="CW29" s="27">
        <f t="shared" si="38"/>
        <v>0</v>
      </c>
      <c r="CX29" s="27">
        <f t="shared" si="38"/>
        <v>0</v>
      </c>
      <c r="CY29" s="27">
        <f t="shared" si="38"/>
        <v>0</v>
      </c>
      <c r="CZ29" s="27">
        <f t="shared" si="39"/>
        <v>0</v>
      </c>
      <c r="DA29" s="27">
        <f t="shared" si="39"/>
        <v>0</v>
      </c>
      <c r="DB29" s="27">
        <f t="shared" si="39"/>
        <v>0</v>
      </c>
      <c r="DC29" s="27">
        <f t="shared" si="40"/>
        <v>0</v>
      </c>
      <c r="DD29" s="27">
        <f t="shared" si="40"/>
        <v>0</v>
      </c>
      <c r="DE29" s="27">
        <f t="shared" si="40"/>
        <v>0</v>
      </c>
      <c r="DF29" s="27">
        <f t="shared" si="41"/>
        <v>0</v>
      </c>
      <c r="DG29" s="27">
        <f t="shared" si="41"/>
        <v>21162501</v>
      </c>
      <c r="DH29" s="27">
        <f t="shared" si="41"/>
        <v>0</v>
      </c>
      <c r="DI29" s="27"/>
      <c r="DJ29" s="27">
        <f t="shared" si="42"/>
        <v>0</v>
      </c>
      <c r="DK29" s="27">
        <f t="shared" si="42"/>
        <v>0</v>
      </c>
      <c r="DL29" s="27">
        <f t="shared" si="42"/>
        <v>0</v>
      </c>
      <c r="DN29" s="193"/>
      <c r="DO29" s="193"/>
      <c r="DP29" s="193"/>
      <c r="DQ29" s="193"/>
      <c r="DR29" s="193"/>
    </row>
    <row r="30" spans="1:123" ht="22.5" hidden="1" customHeight="1" x14ac:dyDescent="0.25">
      <c r="A30" s="34"/>
      <c r="B30" s="230"/>
      <c r="C30" s="23" t="s">
        <v>109</v>
      </c>
      <c r="D30" s="24" t="s">
        <v>110</v>
      </c>
      <c r="E30" s="25">
        <v>410</v>
      </c>
      <c r="F30" s="26" t="s">
        <v>75</v>
      </c>
      <c r="G30" s="27">
        <f t="shared" si="29"/>
        <v>12000000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>
        <f>6000000+2000000+4000000</f>
        <v>12000000</v>
      </c>
      <c r="AC30" s="29">
        <f t="shared" si="1"/>
        <v>0.49446925000000003</v>
      </c>
      <c r="AD30" s="27">
        <f t="shared" si="30"/>
        <v>5933631</v>
      </c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>
        <f>+'[1]JUNIO 2016'!$AG$861</f>
        <v>5933631</v>
      </c>
      <c r="AY30" s="29">
        <f t="shared" si="3"/>
        <v>0.50553074999999992</v>
      </c>
      <c r="AZ30" s="27">
        <f t="shared" si="31"/>
        <v>6066369</v>
      </c>
      <c r="BA30" s="27">
        <f t="shared" si="32"/>
        <v>0</v>
      </c>
      <c r="BB30" s="27">
        <f t="shared" si="33"/>
        <v>0</v>
      </c>
      <c r="BC30" s="27">
        <f t="shared" si="33"/>
        <v>0</v>
      </c>
      <c r="BD30" s="27">
        <f t="shared" si="33"/>
        <v>0</v>
      </c>
      <c r="BE30" s="27">
        <f t="shared" si="34"/>
        <v>0</v>
      </c>
      <c r="BF30" s="27">
        <f t="shared" si="34"/>
        <v>0</v>
      </c>
      <c r="BG30" s="27">
        <f t="shared" si="34"/>
        <v>0</v>
      </c>
      <c r="BH30" s="27">
        <f t="shared" si="34"/>
        <v>0</v>
      </c>
      <c r="BI30" s="27">
        <f t="shared" si="34"/>
        <v>0</v>
      </c>
      <c r="BJ30" s="27">
        <f t="shared" si="34"/>
        <v>0</v>
      </c>
      <c r="BK30" s="27">
        <f t="shared" si="34"/>
        <v>0</v>
      </c>
      <c r="BL30" s="27">
        <f t="shared" si="34"/>
        <v>0</v>
      </c>
      <c r="BM30" s="27">
        <f t="shared" si="34"/>
        <v>0</v>
      </c>
      <c r="BN30" s="27"/>
      <c r="BO30" s="27">
        <f t="shared" si="34"/>
        <v>0</v>
      </c>
      <c r="BP30" s="27">
        <f t="shared" si="34"/>
        <v>0</v>
      </c>
      <c r="BQ30" s="27"/>
      <c r="BR30" s="27"/>
      <c r="BS30" s="27"/>
      <c r="BT30" s="27">
        <f t="shared" si="35"/>
        <v>6066369</v>
      </c>
      <c r="BU30" s="29">
        <f t="shared" si="10"/>
        <v>0.49446925000000003</v>
      </c>
      <c r="BV30" s="27">
        <f t="shared" si="36"/>
        <v>5933631</v>
      </c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>
        <f>+'[1]JUNIO 2016'!$H$859</f>
        <v>5933631</v>
      </c>
      <c r="CQ30" s="29">
        <f t="shared" si="12"/>
        <v>0.50553074999999992</v>
      </c>
      <c r="CR30" s="27">
        <f t="shared" si="37"/>
        <v>6066369</v>
      </c>
      <c r="CS30" s="27">
        <f t="shared" si="38"/>
        <v>0</v>
      </c>
      <c r="CT30" s="27">
        <f t="shared" si="38"/>
        <v>0</v>
      </c>
      <c r="CU30" s="27">
        <f t="shared" si="38"/>
        <v>0</v>
      </c>
      <c r="CV30" s="27">
        <f t="shared" si="38"/>
        <v>0</v>
      </c>
      <c r="CW30" s="27">
        <f t="shared" si="38"/>
        <v>0</v>
      </c>
      <c r="CX30" s="27">
        <f t="shared" si="38"/>
        <v>0</v>
      </c>
      <c r="CY30" s="27">
        <f t="shared" si="38"/>
        <v>0</v>
      </c>
      <c r="CZ30" s="27">
        <f t="shared" si="39"/>
        <v>0</v>
      </c>
      <c r="DA30" s="27">
        <f t="shared" si="39"/>
        <v>0</v>
      </c>
      <c r="DB30" s="27">
        <f t="shared" si="39"/>
        <v>0</v>
      </c>
      <c r="DC30" s="27">
        <f t="shared" si="40"/>
        <v>0</v>
      </c>
      <c r="DD30" s="27">
        <f t="shared" si="40"/>
        <v>0</v>
      </c>
      <c r="DE30" s="27">
        <f t="shared" si="40"/>
        <v>0</v>
      </c>
      <c r="DF30" s="27">
        <f t="shared" si="40"/>
        <v>0</v>
      </c>
      <c r="DG30" s="27">
        <f t="shared" si="40"/>
        <v>0</v>
      </c>
      <c r="DH30" s="27">
        <f t="shared" si="40"/>
        <v>0</v>
      </c>
      <c r="DI30" s="27"/>
      <c r="DJ30" s="27">
        <f t="shared" ref="DJ30:DL45" si="43">Y30-CN30</f>
        <v>0</v>
      </c>
      <c r="DK30" s="27">
        <f t="shared" si="43"/>
        <v>0</v>
      </c>
      <c r="DL30" s="27">
        <f t="shared" si="43"/>
        <v>6066369</v>
      </c>
      <c r="DN30" s="193"/>
      <c r="DO30" s="193"/>
      <c r="DP30" s="193"/>
      <c r="DQ30" s="193"/>
      <c r="DR30" s="193"/>
    </row>
    <row r="31" spans="1:123" ht="33" hidden="1" customHeight="1" x14ac:dyDescent="0.25">
      <c r="A31" s="34"/>
      <c r="B31" s="230"/>
      <c r="C31" s="23" t="s">
        <v>111</v>
      </c>
      <c r="D31" s="24" t="s">
        <v>112</v>
      </c>
      <c r="E31" s="25">
        <v>410</v>
      </c>
      <c r="F31" s="26" t="s">
        <v>113</v>
      </c>
      <c r="G31" s="27">
        <f t="shared" si="29"/>
        <v>5000000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>
        <v>5000000</v>
      </c>
      <c r="AC31" s="29">
        <f t="shared" si="1"/>
        <v>0.32128479999999998</v>
      </c>
      <c r="AD31" s="27">
        <f t="shared" si="30"/>
        <v>1606424</v>
      </c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>
        <f>+'[4]ABRIL 2016'!$G$646</f>
        <v>1606424</v>
      </c>
      <c r="AY31" s="29">
        <f t="shared" si="3"/>
        <v>0.67871520000000007</v>
      </c>
      <c r="AZ31" s="27">
        <f t="shared" si="31"/>
        <v>3393576</v>
      </c>
      <c r="BA31" s="27">
        <f t="shared" si="32"/>
        <v>0</v>
      </c>
      <c r="BB31" s="27">
        <f t="shared" si="33"/>
        <v>0</v>
      </c>
      <c r="BC31" s="27">
        <f t="shared" si="33"/>
        <v>0</v>
      </c>
      <c r="BD31" s="27">
        <f t="shared" si="33"/>
        <v>0</v>
      </c>
      <c r="BE31" s="27">
        <f t="shared" si="34"/>
        <v>0</v>
      </c>
      <c r="BF31" s="27">
        <f t="shared" si="34"/>
        <v>0</v>
      </c>
      <c r="BG31" s="27">
        <f t="shared" si="34"/>
        <v>0</v>
      </c>
      <c r="BH31" s="27">
        <f t="shared" si="34"/>
        <v>0</v>
      </c>
      <c r="BI31" s="27">
        <f t="shared" si="34"/>
        <v>0</v>
      </c>
      <c r="BJ31" s="27">
        <f t="shared" si="34"/>
        <v>0</v>
      </c>
      <c r="BK31" s="27">
        <f t="shared" si="34"/>
        <v>0</v>
      </c>
      <c r="BL31" s="27">
        <f t="shared" si="34"/>
        <v>0</v>
      </c>
      <c r="BM31" s="27">
        <f t="shared" si="34"/>
        <v>0</v>
      </c>
      <c r="BN31" s="27"/>
      <c r="BO31" s="27">
        <f t="shared" si="34"/>
        <v>0</v>
      </c>
      <c r="BP31" s="27">
        <f t="shared" si="34"/>
        <v>0</v>
      </c>
      <c r="BQ31" s="27"/>
      <c r="BR31" s="27"/>
      <c r="BS31" s="27"/>
      <c r="BT31" s="27">
        <f t="shared" si="35"/>
        <v>3393576</v>
      </c>
      <c r="BU31" s="29">
        <f t="shared" si="10"/>
        <v>0.32128479999999998</v>
      </c>
      <c r="BV31" s="27">
        <f t="shared" si="36"/>
        <v>1606424</v>
      </c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>
        <f>+'[4]ABRIL 2016'!$H$646</f>
        <v>1606424</v>
      </c>
      <c r="CQ31" s="29">
        <f t="shared" si="12"/>
        <v>0.67871520000000007</v>
      </c>
      <c r="CR31" s="27">
        <f t="shared" si="37"/>
        <v>3393576</v>
      </c>
      <c r="CS31" s="27">
        <f t="shared" si="38"/>
        <v>0</v>
      </c>
      <c r="CT31" s="27">
        <f t="shared" si="38"/>
        <v>0</v>
      </c>
      <c r="CU31" s="27">
        <f t="shared" si="38"/>
        <v>0</v>
      </c>
      <c r="CV31" s="27">
        <f t="shared" si="38"/>
        <v>0</v>
      </c>
      <c r="CW31" s="27">
        <f t="shared" si="38"/>
        <v>0</v>
      </c>
      <c r="CX31" s="27">
        <f t="shared" si="38"/>
        <v>0</v>
      </c>
      <c r="CY31" s="27">
        <f t="shared" si="38"/>
        <v>0</v>
      </c>
      <c r="CZ31" s="27">
        <f t="shared" si="39"/>
        <v>0</v>
      </c>
      <c r="DA31" s="27">
        <f t="shared" si="39"/>
        <v>0</v>
      </c>
      <c r="DB31" s="27">
        <f t="shared" si="39"/>
        <v>0</v>
      </c>
      <c r="DC31" s="27">
        <f t="shared" si="40"/>
        <v>0</v>
      </c>
      <c r="DD31" s="27">
        <f t="shared" si="40"/>
        <v>0</v>
      </c>
      <c r="DE31" s="27">
        <f t="shared" si="40"/>
        <v>0</v>
      </c>
      <c r="DF31" s="27">
        <f t="shared" si="40"/>
        <v>0</v>
      </c>
      <c r="DG31" s="27">
        <f t="shared" si="40"/>
        <v>0</v>
      </c>
      <c r="DH31" s="27">
        <f t="shared" si="40"/>
        <v>0</v>
      </c>
      <c r="DI31" s="27"/>
      <c r="DJ31" s="27">
        <f t="shared" si="43"/>
        <v>0</v>
      </c>
      <c r="DK31" s="27">
        <f t="shared" si="43"/>
        <v>0</v>
      </c>
      <c r="DL31" s="27">
        <f t="shared" si="43"/>
        <v>3393576</v>
      </c>
      <c r="DN31" s="193"/>
      <c r="DO31" s="193"/>
      <c r="DP31" s="193"/>
      <c r="DQ31" s="193"/>
      <c r="DR31" s="193"/>
    </row>
    <row r="32" spans="1:123" ht="38.25" hidden="1" customHeight="1" x14ac:dyDescent="0.25">
      <c r="A32" s="34"/>
      <c r="B32" s="231"/>
      <c r="C32" s="23" t="s">
        <v>114</v>
      </c>
      <c r="D32" s="24" t="s">
        <v>115</v>
      </c>
      <c r="E32" s="25">
        <v>410</v>
      </c>
      <c r="F32" s="26" t="s">
        <v>116</v>
      </c>
      <c r="G32" s="27">
        <f t="shared" si="29"/>
        <v>121169156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>
        <v>110000000</v>
      </c>
      <c r="W32" s="27"/>
      <c r="X32" s="27">
        <v>11169156</v>
      </c>
      <c r="Y32" s="27"/>
      <c r="Z32" s="27"/>
      <c r="AA32" s="27"/>
      <c r="AC32" s="29">
        <f t="shared" si="1"/>
        <v>0.90782178923487755</v>
      </c>
      <c r="AD32" s="27">
        <f t="shared" si="30"/>
        <v>110000000</v>
      </c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>
        <f>+'[5]ENERO 2016'!$Y$308</f>
        <v>110000000</v>
      </c>
      <c r="AT32" s="27"/>
      <c r="AU32" s="27"/>
      <c r="AV32" s="27"/>
      <c r="AW32" s="27"/>
      <c r="AX32" s="27"/>
      <c r="AY32" s="29">
        <f t="shared" si="3"/>
        <v>9.2178210765122448E-2</v>
      </c>
      <c r="AZ32" s="27">
        <f t="shared" si="31"/>
        <v>11169156</v>
      </c>
      <c r="BA32" s="27">
        <f t="shared" si="32"/>
        <v>0</v>
      </c>
      <c r="BB32" s="27">
        <f t="shared" si="33"/>
        <v>0</v>
      </c>
      <c r="BC32" s="27">
        <f t="shared" si="33"/>
        <v>0</v>
      </c>
      <c r="BD32" s="27">
        <f t="shared" si="33"/>
        <v>0</v>
      </c>
      <c r="BE32" s="27">
        <f t="shared" si="34"/>
        <v>0</v>
      </c>
      <c r="BF32" s="27">
        <f t="shared" si="34"/>
        <v>0</v>
      </c>
      <c r="BG32" s="27">
        <f t="shared" si="34"/>
        <v>0</v>
      </c>
      <c r="BH32" s="27">
        <f t="shared" si="34"/>
        <v>0</v>
      </c>
      <c r="BI32" s="27">
        <f t="shared" si="34"/>
        <v>0</v>
      </c>
      <c r="BJ32" s="27">
        <f t="shared" si="34"/>
        <v>0</v>
      </c>
      <c r="BK32" s="27">
        <f t="shared" si="34"/>
        <v>0</v>
      </c>
      <c r="BL32" s="27">
        <f t="shared" si="34"/>
        <v>0</v>
      </c>
      <c r="BM32" s="27">
        <f t="shared" si="34"/>
        <v>0</v>
      </c>
      <c r="BN32" s="27"/>
      <c r="BO32" s="27">
        <f t="shared" si="34"/>
        <v>0</v>
      </c>
      <c r="BP32" s="27">
        <f t="shared" si="34"/>
        <v>0</v>
      </c>
      <c r="BQ32" s="27">
        <f>+X32-AU32</f>
        <v>11169156</v>
      </c>
      <c r="BR32" s="27"/>
      <c r="BS32" s="27"/>
      <c r="BT32" s="27">
        <f t="shared" si="35"/>
        <v>0</v>
      </c>
      <c r="BU32" s="29">
        <f t="shared" si="10"/>
        <v>0.76112202184522937</v>
      </c>
      <c r="BV32" s="27">
        <f t="shared" si="36"/>
        <v>92224513</v>
      </c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>
        <f>+'[1]JUNIO 2016'!$H$874</f>
        <v>92224513</v>
      </c>
      <c r="CL32" s="27"/>
      <c r="CM32" s="27"/>
      <c r="CN32" s="27"/>
      <c r="CO32" s="27"/>
      <c r="CP32" s="27"/>
      <c r="CQ32" s="29">
        <f t="shared" si="12"/>
        <v>0.23887797815477063</v>
      </c>
      <c r="CR32" s="27">
        <f t="shared" si="37"/>
        <v>28944643</v>
      </c>
      <c r="CS32" s="27">
        <f t="shared" si="38"/>
        <v>0</v>
      </c>
      <c r="CT32" s="27">
        <f t="shared" si="38"/>
        <v>0</v>
      </c>
      <c r="CU32" s="27">
        <f t="shared" si="38"/>
        <v>0</v>
      </c>
      <c r="CV32" s="27">
        <f t="shared" si="38"/>
        <v>0</v>
      </c>
      <c r="CW32" s="27">
        <f t="shared" si="38"/>
        <v>0</v>
      </c>
      <c r="CX32" s="27">
        <f t="shared" si="38"/>
        <v>0</v>
      </c>
      <c r="CY32" s="27">
        <f t="shared" si="38"/>
        <v>0</v>
      </c>
      <c r="CZ32" s="27">
        <f t="shared" si="39"/>
        <v>0</v>
      </c>
      <c r="DA32" s="27">
        <f t="shared" si="39"/>
        <v>0</v>
      </c>
      <c r="DB32" s="27">
        <f t="shared" si="39"/>
        <v>0</v>
      </c>
      <c r="DC32" s="27">
        <f t="shared" si="40"/>
        <v>0</v>
      </c>
      <c r="DD32" s="27">
        <f t="shared" si="40"/>
        <v>0</v>
      </c>
      <c r="DE32" s="27">
        <f t="shared" si="40"/>
        <v>0</v>
      </c>
      <c r="DF32" s="27">
        <f t="shared" si="40"/>
        <v>0</v>
      </c>
      <c r="DG32" s="27">
        <f t="shared" si="40"/>
        <v>17775487</v>
      </c>
      <c r="DH32" s="27">
        <f t="shared" si="40"/>
        <v>0</v>
      </c>
      <c r="DI32" s="27">
        <f>X32-CM32</f>
        <v>11169156</v>
      </c>
      <c r="DJ32" s="27">
        <f t="shared" si="43"/>
        <v>0</v>
      </c>
      <c r="DK32" s="27">
        <f t="shared" si="43"/>
        <v>0</v>
      </c>
      <c r="DL32" s="27">
        <f t="shared" si="43"/>
        <v>0</v>
      </c>
      <c r="DN32" s="193"/>
      <c r="DO32" s="193"/>
      <c r="DP32" s="193"/>
      <c r="DQ32" s="193"/>
      <c r="DR32" s="193"/>
    </row>
    <row r="33" spans="1:122" ht="21.75" hidden="1" customHeight="1" x14ac:dyDescent="0.25">
      <c r="A33" s="236" t="s">
        <v>85</v>
      </c>
      <c r="B33" s="229" t="s">
        <v>117</v>
      </c>
      <c r="C33" s="23" t="s">
        <v>118</v>
      </c>
      <c r="D33" s="24" t="s">
        <v>119</v>
      </c>
      <c r="E33" s="36">
        <v>410</v>
      </c>
      <c r="F33" s="26" t="s">
        <v>89</v>
      </c>
      <c r="G33" s="27">
        <f t="shared" si="29"/>
        <v>55000000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>
        <v>55000000</v>
      </c>
      <c r="W33" s="27"/>
      <c r="X33" s="27"/>
      <c r="Y33" s="27"/>
      <c r="Z33" s="27"/>
      <c r="AA33" s="27"/>
      <c r="AC33" s="29">
        <f t="shared" si="1"/>
        <v>0.31335221818181819</v>
      </c>
      <c r="AD33" s="27">
        <f t="shared" si="30"/>
        <v>17234372</v>
      </c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>
        <f>+'[1]JUNIO 2016'!$Y$911</f>
        <v>17234372</v>
      </c>
      <c r="AT33" s="27"/>
      <c r="AU33" s="27"/>
      <c r="AV33" s="27"/>
      <c r="AW33" s="27"/>
      <c r="AX33" s="27"/>
      <c r="AY33" s="29">
        <f t="shared" si="3"/>
        <v>0.68664778181818176</v>
      </c>
      <c r="AZ33" s="27">
        <f t="shared" si="31"/>
        <v>37765628</v>
      </c>
      <c r="BA33" s="27">
        <f t="shared" si="32"/>
        <v>0</v>
      </c>
      <c r="BB33" s="27">
        <f t="shared" si="33"/>
        <v>0</v>
      </c>
      <c r="BC33" s="27">
        <f t="shared" si="33"/>
        <v>0</v>
      </c>
      <c r="BD33" s="27">
        <f t="shared" si="33"/>
        <v>0</v>
      </c>
      <c r="BE33" s="27">
        <f t="shared" si="34"/>
        <v>0</v>
      </c>
      <c r="BF33" s="27">
        <f t="shared" si="34"/>
        <v>0</v>
      </c>
      <c r="BG33" s="27">
        <f t="shared" si="34"/>
        <v>0</v>
      </c>
      <c r="BH33" s="27">
        <f t="shared" si="34"/>
        <v>0</v>
      </c>
      <c r="BI33" s="27">
        <f t="shared" si="34"/>
        <v>0</v>
      </c>
      <c r="BJ33" s="27">
        <f t="shared" si="34"/>
        <v>0</v>
      </c>
      <c r="BK33" s="27">
        <f t="shared" si="34"/>
        <v>0</v>
      </c>
      <c r="BL33" s="27">
        <f t="shared" si="34"/>
        <v>0</v>
      </c>
      <c r="BM33" s="27">
        <f t="shared" si="34"/>
        <v>0</v>
      </c>
      <c r="BN33" s="27">
        <f>+U33-AR33</f>
        <v>0</v>
      </c>
      <c r="BO33" s="27">
        <f t="shared" si="34"/>
        <v>37765628</v>
      </c>
      <c r="BP33" s="27">
        <f t="shared" si="34"/>
        <v>0</v>
      </c>
      <c r="BQ33" s="27"/>
      <c r="BR33" s="27"/>
      <c r="BS33" s="27"/>
      <c r="BT33" s="27">
        <f t="shared" si="35"/>
        <v>0</v>
      </c>
      <c r="BU33" s="29">
        <f t="shared" si="10"/>
        <v>0.28135221818181816</v>
      </c>
      <c r="BV33" s="27">
        <f t="shared" si="36"/>
        <v>15474372</v>
      </c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>
        <f>+'[1]JUNIO 2016'!$H$909</f>
        <v>15474372</v>
      </c>
      <c r="CL33" s="27"/>
      <c r="CM33" s="27"/>
      <c r="CN33" s="27"/>
      <c r="CO33" s="27"/>
      <c r="CP33" s="27"/>
      <c r="CQ33" s="29">
        <f t="shared" si="12"/>
        <v>0.71864778181818179</v>
      </c>
      <c r="CR33" s="27">
        <f t="shared" si="37"/>
        <v>39525628</v>
      </c>
      <c r="CS33" s="27">
        <f t="shared" si="38"/>
        <v>0</v>
      </c>
      <c r="CT33" s="27">
        <f t="shared" si="38"/>
        <v>0</v>
      </c>
      <c r="CU33" s="27">
        <f t="shared" si="38"/>
        <v>0</v>
      </c>
      <c r="CV33" s="27">
        <f t="shared" si="38"/>
        <v>0</v>
      </c>
      <c r="CW33" s="27">
        <f t="shared" si="38"/>
        <v>0</v>
      </c>
      <c r="CX33" s="27">
        <f t="shared" si="38"/>
        <v>0</v>
      </c>
      <c r="CY33" s="27">
        <f t="shared" si="38"/>
        <v>0</v>
      </c>
      <c r="CZ33" s="27">
        <f t="shared" si="39"/>
        <v>0</v>
      </c>
      <c r="DA33" s="27">
        <f t="shared" si="39"/>
        <v>0</v>
      </c>
      <c r="DB33" s="27">
        <f t="shared" si="39"/>
        <v>0</v>
      </c>
      <c r="DC33" s="27">
        <f t="shared" si="40"/>
        <v>0</v>
      </c>
      <c r="DD33" s="27">
        <f t="shared" si="40"/>
        <v>0</v>
      </c>
      <c r="DE33" s="27">
        <f t="shared" si="40"/>
        <v>0</v>
      </c>
      <c r="DF33" s="27">
        <f t="shared" ref="DF33:DH35" si="44">+U33-CJ33</f>
        <v>0</v>
      </c>
      <c r="DG33" s="27">
        <f t="shared" si="44"/>
        <v>39525628</v>
      </c>
      <c r="DH33" s="27">
        <f t="shared" si="44"/>
        <v>0</v>
      </c>
      <c r="DI33" s="27"/>
      <c r="DJ33" s="27">
        <f>+Y33-CN33</f>
        <v>0</v>
      </c>
      <c r="DK33" s="27">
        <f t="shared" si="43"/>
        <v>0</v>
      </c>
      <c r="DL33" s="27">
        <f>+AA33-CP33</f>
        <v>0</v>
      </c>
      <c r="DN33" s="193"/>
      <c r="DO33" s="193"/>
      <c r="DP33" s="193"/>
      <c r="DQ33" s="193"/>
      <c r="DR33" s="193"/>
    </row>
    <row r="34" spans="1:122" ht="24.75" hidden="1" customHeight="1" x14ac:dyDescent="0.25">
      <c r="A34" s="236"/>
      <c r="B34" s="230"/>
      <c r="C34" s="23" t="s">
        <v>120</v>
      </c>
      <c r="D34" s="24" t="s">
        <v>121</v>
      </c>
      <c r="E34" s="25">
        <v>410</v>
      </c>
      <c r="F34" s="26" t="s">
        <v>89</v>
      </c>
      <c r="G34" s="27">
        <f t="shared" si="29"/>
        <v>50000000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>
        <v>50000000</v>
      </c>
      <c r="W34" s="27"/>
      <c r="X34" s="27"/>
      <c r="Y34" s="27"/>
      <c r="Z34" s="27"/>
      <c r="AA34" s="27"/>
      <c r="AC34" s="29">
        <f t="shared" si="1"/>
        <v>9.1264159999999997E-2</v>
      </c>
      <c r="AD34" s="27">
        <f t="shared" si="30"/>
        <v>4563208</v>
      </c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>
        <f>+'[1]JUNIO 2016'!$Y$932</f>
        <v>4563208</v>
      </c>
      <c r="AT34" s="27"/>
      <c r="AU34" s="27"/>
      <c r="AV34" s="27"/>
      <c r="AW34" s="27"/>
      <c r="AX34" s="27"/>
      <c r="AY34" s="29">
        <f t="shared" si="3"/>
        <v>0.90873583999999996</v>
      </c>
      <c r="AZ34" s="27">
        <f t="shared" si="31"/>
        <v>45436792</v>
      </c>
      <c r="BA34" s="27">
        <f t="shared" si="32"/>
        <v>0</v>
      </c>
      <c r="BB34" s="27">
        <f t="shared" si="33"/>
        <v>0</v>
      </c>
      <c r="BC34" s="27">
        <f t="shared" si="33"/>
        <v>0</v>
      </c>
      <c r="BD34" s="27">
        <f t="shared" si="33"/>
        <v>0</v>
      </c>
      <c r="BE34" s="27">
        <f t="shared" si="34"/>
        <v>0</v>
      </c>
      <c r="BF34" s="27">
        <f t="shared" si="34"/>
        <v>0</v>
      </c>
      <c r="BG34" s="27">
        <f t="shared" si="34"/>
        <v>0</v>
      </c>
      <c r="BH34" s="27">
        <f t="shared" si="34"/>
        <v>0</v>
      </c>
      <c r="BI34" s="27">
        <f t="shared" si="34"/>
        <v>0</v>
      </c>
      <c r="BJ34" s="27">
        <f t="shared" si="34"/>
        <v>0</v>
      </c>
      <c r="BK34" s="27">
        <f t="shared" si="34"/>
        <v>0</v>
      </c>
      <c r="BL34" s="27">
        <f t="shared" si="34"/>
        <v>0</v>
      </c>
      <c r="BM34" s="27">
        <f t="shared" si="34"/>
        <v>0</v>
      </c>
      <c r="BN34" s="27">
        <f>+U34-AR34</f>
        <v>0</v>
      </c>
      <c r="BO34" s="27">
        <f t="shared" si="34"/>
        <v>45436792</v>
      </c>
      <c r="BP34" s="27">
        <f t="shared" si="34"/>
        <v>0</v>
      </c>
      <c r="BQ34" s="27"/>
      <c r="BR34" s="27"/>
      <c r="BS34" s="27"/>
      <c r="BT34" s="27">
        <f t="shared" si="35"/>
        <v>0</v>
      </c>
      <c r="BU34" s="29">
        <f t="shared" si="10"/>
        <v>8.1742880000000004E-2</v>
      </c>
      <c r="BV34" s="27">
        <f t="shared" si="36"/>
        <v>4087144</v>
      </c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>
        <f>+'[3]MAYO 2016'!$H$808</f>
        <v>4087144</v>
      </c>
      <c r="CL34" s="27"/>
      <c r="CM34" s="27"/>
      <c r="CN34" s="27"/>
      <c r="CO34" s="27"/>
      <c r="CP34" s="27"/>
      <c r="CQ34" s="29">
        <f t="shared" si="12"/>
        <v>0.91825712000000004</v>
      </c>
      <c r="CR34" s="27">
        <f t="shared" si="37"/>
        <v>45912856</v>
      </c>
      <c r="CS34" s="27">
        <f t="shared" si="38"/>
        <v>0</v>
      </c>
      <c r="CT34" s="27">
        <f t="shared" si="38"/>
        <v>0</v>
      </c>
      <c r="CU34" s="27">
        <f t="shared" si="38"/>
        <v>0</v>
      </c>
      <c r="CV34" s="27">
        <f t="shared" si="38"/>
        <v>0</v>
      </c>
      <c r="CW34" s="27">
        <f t="shared" si="38"/>
        <v>0</v>
      </c>
      <c r="CX34" s="27">
        <f t="shared" si="38"/>
        <v>0</v>
      </c>
      <c r="CY34" s="27">
        <f t="shared" si="38"/>
        <v>0</v>
      </c>
      <c r="CZ34" s="27">
        <f t="shared" si="39"/>
        <v>0</v>
      </c>
      <c r="DA34" s="27">
        <f t="shared" si="39"/>
        <v>0</v>
      </c>
      <c r="DB34" s="27">
        <f t="shared" si="39"/>
        <v>0</v>
      </c>
      <c r="DC34" s="27">
        <f t="shared" si="40"/>
        <v>0</v>
      </c>
      <c r="DD34" s="27">
        <f t="shared" si="40"/>
        <v>0</v>
      </c>
      <c r="DE34" s="27">
        <f t="shared" si="40"/>
        <v>0</v>
      </c>
      <c r="DF34" s="27">
        <f t="shared" si="44"/>
        <v>0</v>
      </c>
      <c r="DG34" s="27">
        <f t="shared" si="44"/>
        <v>45912856</v>
      </c>
      <c r="DH34" s="27">
        <f t="shared" si="44"/>
        <v>0</v>
      </c>
      <c r="DI34" s="27"/>
      <c r="DJ34" s="27">
        <f>+Y34-CN34</f>
        <v>0</v>
      </c>
      <c r="DK34" s="27">
        <f t="shared" si="43"/>
        <v>0</v>
      </c>
      <c r="DL34" s="27">
        <f>+AA34-CP34</f>
        <v>0</v>
      </c>
      <c r="DN34" s="193"/>
      <c r="DO34" s="193"/>
      <c r="DP34" s="193"/>
      <c r="DQ34" s="193"/>
      <c r="DR34" s="193"/>
    </row>
    <row r="35" spans="1:122" ht="19.5" hidden="1" customHeight="1" x14ac:dyDescent="0.25">
      <c r="A35" s="236"/>
      <c r="B35" s="230"/>
      <c r="C35" s="23" t="s">
        <v>122</v>
      </c>
      <c r="D35" s="24" t="s">
        <v>123</v>
      </c>
      <c r="E35" s="25">
        <v>410</v>
      </c>
      <c r="F35" s="26" t="s">
        <v>89</v>
      </c>
      <c r="G35" s="27">
        <f t="shared" si="29"/>
        <v>40000000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>
        <v>40000000</v>
      </c>
      <c r="W35" s="27"/>
      <c r="X35" s="27"/>
      <c r="Y35" s="27"/>
      <c r="Z35" s="27"/>
      <c r="AA35" s="27"/>
      <c r="AC35" s="29">
        <f t="shared" si="1"/>
        <v>1</v>
      </c>
      <c r="AD35" s="27">
        <f t="shared" si="30"/>
        <v>40000000</v>
      </c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>
        <v>40000000</v>
      </c>
      <c r="AT35" s="27"/>
      <c r="AU35" s="27"/>
      <c r="AV35" s="27"/>
      <c r="AW35" s="27"/>
      <c r="AX35" s="27"/>
      <c r="AY35" s="29">
        <f t="shared" si="3"/>
        <v>0</v>
      </c>
      <c r="AZ35" s="27">
        <f t="shared" si="31"/>
        <v>0</v>
      </c>
      <c r="BA35" s="27">
        <f t="shared" si="32"/>
        <v>0</v>
      </c>
      <c r="BB35" s="27">
        <f t="shared" si="33"/>
        <v>0</v>
      </c>
      <c r="BC35" s="27">
        <f t="shared" si="33"/>
        <v>0</v>
      </c>
      <c r="BD35" s="27">
        <f t="shared" si="33"/>
        <v>0</v>
      </c>
      <c r="BE35" s="27">
        <f t="shared" si="34"/>
        <v>0</v>
      </c>
      <c r="BF35" s="27">
        <f t="shared" si="34"/>
        <v>0</v>
      </c>
      <c r="BG35" s="27">
        <f t="shared" si="34"/>
        <v>0</v>
      </c>
      <c r="BH35" s="27">
        <f t="shared" si="34"/>
        <v>0</v>
      </c>
      <c r="BI35" s="27">
        <f t="shared" si="34"/>
        <v>0</v>
      </c>
      <c r="BJ35" s="27">
        <f t="shared" si="34"/>
        <v>0</v>
      </c>
      <c r="BK35" s="27">
        <f t="shared" si="34"/>
        <v>0</v>
      </c>
      <c r="BL35" s="27">
        <f t="shared" si="34"/>
        <v>0</v>
      </c>
      <c r="BM35" s="27">
        <f t="shared" si="34"/>
        <v>0</v>
      </c>
      <c r="BN35" s="27">
        <f>+U35-AR35</f>
        <v>0</v>
      </c>
      <c r="BO35" s="27">
        <f t="shared" si="34"/>
        <v>0</v>
      </c>
      <c r="BP35" s="27">
        <f t="shared" si="34"/>
        <v>0</v>
      </c>
      <c r="BQ35" s="27"/>
      <c r="BR35" s="27"/>
      <c r="BS35" s="27"/>
      <c r="BT35" s="27">
        <f t="shared" si="35"/>
        <v>0</v>
      </c>
      <c r="BU35" s="29">
        <f t="shared" si="10"/>
        <v>0.72390849999999995</v>
      </c>
      <c r="BV35" s="27">
        <f t="shared" si="36"/>
        <v>28956340</v>
      </c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>
        <f>+'[2]MARZO 2016 ULTIMO'!$H$552</f>
        <v>28956340</v>
      </c>
      <c r="CL35" s="27"/>
      <c r="CM35" s="27"/>
      <c r="CN35" s="27"/>
      <c r="CO35" s="27"/>
      <c r="CP35" s="27"/>
      <c r="CQ35" s="29">
        <f t="shared" si="12"/>
        <v>0.27609150000000005</v>
      </c>
      <c r="CR35" s="27">
        <f t="shared" si="37"/>
        <v>11043660</v>
      </c>
      <c r="CS35" s="27">
        <f t="shared" si="38"/>
        <v>0</v>
      </c>
      <c r="CT35" s="27">
        <f t="shared" si="38"/>
        <v>0</v>
      </c>
      <c r="CU35" s="27">
        <f t="shared" si="38"/>
        <v>0</v>
      </c>
      <c r="CV35" s="27">
        <f t="shared" si="38"/>
        <v>0</v>
      </c>
      <c r="CW35" s="27">
        <f t="shared" si="38"/>
        <v>0</v>
      </c>
      <c r="CX35" s="27">
        <f t="shared" si="38"/>
        <v>0</v>
      </c>
      <c r="CY35" s="27">
        <f t="shared" si="38"/>
        <v>0</v>
      </c>
      <c r="CZ35" s="27">
        <f t="shared" si="39"/>
        <v>0</v>
      </c>
      <c r="DA35" s="27">
        <f t="shared" si="39"/>
        <v>0</v>
      </c>
      <c r="DB35" s="27">
        <f t="shared" si="39"/>
        <v>0</v>
      </c>
      <c r="DC35" s="27">
        <f t="shared" si="40"/>
        <v>0</v>
      </c>
      <c r="DD35" s="27">
        <f t="shared" si="40"/>
        <v>0</v>
      </c>
      <c r="DE35" s="27">
        <f t="shared" si="40"/>
        <v>0</v>
      </c>
      <c r="DF35" s="27">
        <f t="shared" si="44"/>
        <v>0</v>
      </c>
      <c r="DG35" s="27">
        <f t="shared" si="44"/>
        <v>11043660</v>
      </c>
      <c r="DH35" s="27">
        <f t="shared" si="44"/>
        <v>0</v>
      </c>
      <c r="DI35" s="27"/>
      <c r="DJ35" s="27">
        <f>+Y35-CN35</f>
        <v>0</v>
      </c>
      <c r="DK35" s="27">
        <f t="shared" si="43"/>
        <v>0</v>
      </c>
      <c r="DL35" s="27">
        <f>+AA35-CP35</f>
        <v>0</v>
      </c>
      <c r="DN35" s="193"/>
      <c r="DO35" s="193"/>
      <c r="DP35" s="193"/>
      <c r="DQ35" s="193"/>
      <c r="DR35" s="193"/>
    </row>
    <row r="36" spans="1:122" ht="21" hidden="1" customHeight="1" x14ac:dyDescent="0.25">
      <c r="A36" s="236"/>
      <c r="B36" s="231"/>
      <c r="C36" s="23" t="s">
        <v>124</v>
      </c>
      <c r="D36" s="24" t="s">
        <v>125</v>
      </c>
      <c r="E36" s="25">
        <v>410</v>
      </c>
      <c r="F36" s="26" t="s">
        <v>89</v>
      </c>
      <c r="G36" s="27">
        <f t="shared" si="29"/>
        <v>105000000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>
        <v>105000000</v>
      </c>
      <c r="W36" s="27"/>
      <c r="X36" s="27"/>
      <c r="Y36" s="27"/>
      <c r="Z36" s="27"/>
      <c r="AA36" s="27"/>
      <c r="AC36" s="29">
        <f t="shared" si="1"/>
        <v>1</v>
      </c>
      <c r="AD36" s="27">
        <f t="shared" si="30"/>
        <v>105000000</v>
      </c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>
        <f>+'[1]JUNIO 2016'!$Y$953</f>
        <v>105000000</v>
      </c>
      <c r="AT36" s="27"/>
      <c r="AU36" s="27"/>
      <c r="AV36" s="27"/>
      <c r="AW36" s="27"/>
      <c r="AX36" s="27"/>
      <c r="AY36" s="29">
        <f t="shared" si="3"/>
        <v>0</v>
      </c>
      <c r="AZ36" s="27">
        <f t="shared" si="31"/>
        <v>0</v>
      </c>
      <c r="BA36" s="27">
        <f t="shared" si="32"/>
        <v>0</v>
      </c>
      <c r="BB36" s="27">
        <f t="shared" si="33"/>
        <v>0</v>
      </c>
      <c r="BC36" s="27">
        <f t="shared" si="33"/>
        <v>0</v>
      </c>
      <c r="BD36" s="27">
        <f t="shared" si="33"/>
        <v>0</v>
      </c>
      <c r="BE36" s="27">
        <f t="shared" si="33"/>
        <v>0</v>
      </c>
      <c r="BF36" s="27">
        <f t="shared" si="33"/>
        <v>0</v>
      </c>
      <c r="BG36" s="27">
        <f t="shared" si="33"/>
        <v>0</v>
      </c>
      <c r="BH36" s="27">
        <f t="shared" si="33"/>
        <v>0</v>
      </c>
      <c r="BI36" s="27">
        <f t="shared" si="33"/>
        <v>0</v>
      </c>
      <c r="BJ36" s="27">
        <f t="shared" si="33"/>
        <v>0</v>
      </c>
      <c r="BK36" s="27">
        <f t="shared" si="33"/>
        <v>0</v>
      </c>
      <c r="BL36" s="27">
        <f t="shared" si="33"/>
        <v>0</v>
      </c>
      <c r="BM36" s="27">
        <f t="shared" si="33"/>
        <v>0</v>
      </c>
      <c r="BN36" s="27">
        <f t="shared" si="33"/>
        <v>0</v>
      </c>
      <c r="BO36" s="27">
        <f t="shared" si="33"/>
        <v>0</v>
      </c>
      <c r="BP36" s="27">
        <f t="shared" si="33"/>
        <v>0</v>
      </c>
      <c r="BQ36" s="27"/>
      <c r="BR36" s="27">
        <f>Y36-AV36</f>
        <v>0</v>
      </c>
      <c r="BS36" s="27">
        <f>Z36-AW36</f>
        <v>0</v>
      </c>
      <c r="BT36" s="27">
        <f>AA36-AX36</f>
        <v>0</v>
      </c>
      <c r="BU36" s="29">
        <f t="shared" si="10"/>
        <v>1</v>
      </c>
      <c r="BV36" s="27">
        <f t="shared" si="36"/>
        <v>105000000</v>
      </c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>
        <f>+'[1]JUNIO 2016'!$H$951</f>
        <v>105000000</v>
      </c>
      <c r="CL36" s="27"/>
      <c r="CM36" s="27"/>
      <c r="CN36" s="27"/>
      <c r="CO36" s="27"/>
      <c r="CP36" s="27"/>
      <c r="CQ36" s="29">
        <f t="shared" si="12"/>
        <v>0</v>
      </c>
      <c r="CR36" s="27">
        <f t="shared" si="37"/>
        <v>0</v>
      </c>
      <c r="CS36" s="27">
        <f t="shared" si="38"/>
        <v>0</v>
      </c>
      <c r="CT36" s="27">
        <f t="shared" si="38"/>
        <v>0</v>
      </c>
      <c r="CU36" s="27">
        <f t="shared" si="38"/>
        <v>0</v>
      </c>
      <c r="CV36" s="27">
        <f t="shared" si="38"/>
        <v>0</v>
      </c>
      <c r="CW36" s="27">
        <f t="shared" si="38"/>
        <v>0</v>
      </c>
      <c r="CX36" s="27">
        <f t="shared" si="38"/>
        <v>0</v>
      </c>
      <c r="CY36" s="27">
        <f t="shared" si="38"/>
        <v>0</v>
      </c>
      <c r="CZ36" s="27">
        <f>O36-CD36</f>
        <v>0</v>
      </c>
      <c r="DA36" s="27">
        <f>P36-CE36</f>
        <v>0</v>
      </c>
      <c r="DB36" s="27">
        <f>Q36-CF36</f>
        <v>0</v>
      </c>
      <c r="DC36" s="27">
        <f t="shared" si="40"/>
        <v>0</v>
      </c>
      <c r="DD36" s="27">
        <f t="shared" si="40"/>
        <v>0</v>
      </c>
      <c r="DE36" s="27">
        <f t="shared" si="40"/>
        <v>0</v>
      </c>
      <c r="DF36" s="27">
        <f>U36-CJ36</f>
        <v>0</v>
      </c>
      <c r="DG36" s="27">
        <f>V36-CK36</f>
        <v>0</v>
      </c>
      <c r="DH36" s="27">
        <f>W36-CL36</f>
        <v>0</v>
      </c>
      <c r="DI36" s="27"/>
      <c r="DJ36" s="27">
        <f>Y36-CN36</f>
        <v>0</v>
      </c>
      <c r="DK36" s="27">
        <f t="shared" si="43"/>
        <v>0</v>
      </c>
      <c r="DL36" s="27">
        <f>AA36-CP36</f>
        <v>0</v>
      </c>
      <c r="DN36" s="193"/>
      <c r="DO36" s="193"/>
      <c r="DP36" s="193"/>
      <c r="DQ36" s="193"/>
      <c r="DR36" s="193"/>
    </row>
    <row r="37" spans="1:122" ht="20.25" hidden="1" customHeight="1" x14ac:dyDescent="0.25">
      <c r="A37" s="236"/>
      <c r="B37" s="229" t="s">
        <v>126</v>
      </c>
      <c r="C37" s="23" t="s">
        <v>127</v>
      </c>
      <c r="D37" s="24" t="s">
        <v>128</v>
      </c>
      <c r="E37" s="25">
        <v>410</v>
      </c>
      <c r="F37" s="26" t="s">
        <v>89</v>
      </c>
      <c r="G37" s="27">
        <f t="shared" si="29"/>
        <v>280000000</v>
      </c>
      <c r="H37" s="59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>
        <v>280000000</v>
      </c>
      <c r="U37" s="27"/>
      <c r="V37" s="27"/>
      <c r="W37" s="27"/>
      <c r="X37" s="27"/>
      <c r="Y37" s="27"/>
      <c r="Z37" s="27"/>
      <c r="AA37" s="27"/>
      <c r="AC37" s="29">
        <f t="shared" si="1"/>
        <v>0.38957300714285714</v>
      </c>
      <c r="AD37" s="27">
        <f t="shared" si="30"/>
        <v>109080442</v>
      </c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>
        <f>+'[1]JUNIO 2016'!$W$979</f>
        <v>109080442</v>
      </c>
      <c r="AR37" s="27"/>
      <c r="AS37" s="27"/>
      <c r="AT37" s="27"/>
      <c r="AU37" s="27"/>
      <c r="AV37" s="27"/>
      <c r="AW37" s="27"/>
      <c r="AX37" s="27"/>
      <c r="AY37" s="29">
        <f t="shared" si="3"/>
        <v>0.61042699285714286</v>
      </c>
      <c r="AZ37" s="27">
        <f t="shared" si="31"/>
        <v>170919558</v>
      </c>
      <c r="BA37" s="27">
        <f t="shared" si="32"/>
        <v>0</v>
      </c>
      <c r="BB37" s="27">
        <f t="shared" si="33"/>
        <v>0</v>
      </c>
      <c r="BC37" s="27">
        <f t="shared" si="33"/>
        <v>0</v>
      </c>
      <c r="BD37" s="27">
        <f t="shared" si="33"/>
        <v>0</v>
      </c>
      <c r="BE37" s="27">
        <f t="shared" ref="BE37:BP52" si="45">+L37-AI37</f>
        <v>0</v>
      </c>
      <c r="BF37" s="27">
        <f t="shared" si="45"/>
        <v>0</v>
      </c>
      <c r="BG37" s="27">
        <f t="shared" si="45"/>
        <v>0</v>
      </c>
      <c r="BH37" s="27">
        <f t="shared" si="45"/>
        <v>0</v>
      </c>
      <c r="BI37" s="27">
        <f t="shared" si="45"/>
        <v>0</v>
      </c>
      <c r="BJ37" s="27">
        <f t="shared" si="45"/>
        <v>0</v>
      </c>
      <c r="BK37" s="27">
        <f t="shared" si="45"/>
        <v>0</v>
      </c>
      <c r="BL37" s="27">
        <f t="shared" si="45"/>
        <v>0</v>
      </c>
      <c r="BM37" s="27">
        <f t="shared" si="45"/>
        <v>170919558</v>
      </c>
      <c r="BN37" s="27">
        <f t="shared" si="45"/>
        <v>0</v>
      </c>
      <c r="BO37" s="27">
        <f t="shared" si="45"/>
        <v>0</v>
      </c>
      <c r="BP37" s="27">
        <f t="shared" si="45"/>
        <v>0</v>
      </c>
      <c r="BQ37" s="27"/>
      <c r="BR37" s="27"/>
      <c r="BS37" s="27">
        <f t="shared" ref="BS37:BS57" si="46">Z37-AW37</f>
        <v>0</v>
      </c>
      <c r="BT37" s="27">
        <f t="shared" ref="BT37:BT57" si="47">+AA37-AX37</f>
        <v>0</v>
      </c>
      <c r="BU37" s="29">
        <f t="shared" si="10"/>
        <v>0.38957300714285714</v>
      </c>
      <c r="BV37" s="27">
        <f t="shared" si="36"/>
        <v>109080442</v>
      </c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>
        <f>+'[1]JUNIO 2016'!$H$977</f>
        <v>109080442</v>
      </c>
      <c r="CJ37" s="27"/>
      <c r="CK37" s="27"/>
      <c r="CL37" s="27"/>
      <c r="CM37" s="27"/>
      <c r="CN37" s="27"/>
      <c r="CO37" s="27"/>
      <c r="CP37" s="27"/>
      <c r="CQ37" s="29">
        <f t="shared" si="12"/>
        <v>0.61042699285714286</v>
      </c>
      <c r="CR37" s="27">
        <f t="shared" si="37"/>
        <v>170919558</v>
      </c>
      <c r="CS37" s="27">
        <f t="shared" si="38"/>
        <v>0</v>
      </c>
      <c r="CT37" s="27">
        <f t="shared" si="38"/>
        <v>0</v>
      </c>
      <c r="CU37" s="27">
        <f t="shared" si="38"/>
        <v>0</v>
      </c>
      <c r="CV37" s="27">
        <f t="shared" si="38"/>
        <v>0</v>
      </c>
      <c r="CW37" s="27">
        <f t="shared" si="38"/>
        <v>0</v>
      </c>
      <c r="CX37" s="27">
        <f t="shared" si="38"/>
        <v>0</v>
      </c>
      <c r="CY37" s="27">
        <f t="shared" si="38"/>
        <v>0</v>
      </c>
      <c r="CZ37" s="27">
        <f t="shared" ref="CZ37:DE48" si="48">+O37-CD37</f>
        <v>0</v>
      </c>
      <c r="DA37" s="27">
        <f t="shared" si="48"/>
        <v>0</v>
      </c>
      <c r="DB37" s="27">
        <f t="shared" si="48"/>
        <v>0</v>
      </c>
      <c r="DC37" s="27">
        <f t="shared" si="40"/>
        <v>0</v>
      </c>
      <c r="DD37" s="27">
        <f t="shared" si="40"/>
        <v>0</v>
      </c>
      <c r="DE37" s="27">
        <f t="shared" si="40"/>
        <v>170919558</v>
      </c>
      <c r="DF37" s="27">
        <f t="shared" ref="DF37:DH48" si="49">+U37-CJ37</f>
        <v>0</v>
      </c>
      <c r="DG37" s="27">
        <f t="shared" si="49"/>
        <v>0</v>
      </c>
      <c r="DH37" s="27">
        <f t="shared" si="49"/>
        <v>0</v>
      </c>
      <c r="DI37" s="27"/>
      <c r="DJ37" s="27">
        <f t="shared" ref="DJ37:DJ48" si="50">+Y37-CN37</f>
        <v>0</v>
      </c>
      <c r="DK37" s="27">
        <f t="shared" si="43"/>
        <v>0</v>
      </c>
      <c r="DL37" s="27">
        <f t="shared" ref="DL37:DL48" si="51">+AA37-CP37</f>
        <v>0</v>
      </c>
      <c r="DN37" s="193"/>
      <c r="DO37" s="193"/>
      <c r="DP37" s="193"/>
      <c r="DQ37" s="193"/>
      <c r="DR37" s="193"/>
    </row>
    <row r="38" spans="1:122" ht="38.25" hidden="1" customHeight="1" x14ac:dyDescent="0.25">
      <c r="A38" s="236"/>
      <c r="B38" s="230"/>
      <c r="C38" s="23" t="s">
        <v>129</v>
      </c>
      <c r="D38" s="60" t="s">
        <v>130</v>
      </c>
      <c r="E38" s="25">
        <v>410</v>
      </c>
      <c r="F38" s="26" t="s">
        <v>131</v>
      </c>
      <c r="G38" s="27">
        <f t="shared" si="29"/>
        <v>193627198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>
        <v>7696735</v>
      </c>
      <c r="U38" s="27"/>
      <c r="V38" s="27">
        <v>147930463</v>
      </c>
      <c r="W38" s="27"/>
      <c r="X38" s="27"/>
      <c r="Y38" s="27"/>
      <c r="Z38" s="61"/>
      <c r="AA38" s="61">
        <f>35000000+3000000</f>
        <v>38000000</v>
      </c>
      <c r="AC38" s="29">
        <f t="shared" si="1"/>
        <v>0.31805951145355105</v>
      </c>
      <c r="AD38" s="27">
        <f t="shared" si="30"/>
        <v>61584972</v>
      </c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>
        <f>+'[1]JUNIO 2016'!$W$1028</f>
        <v>7654735</v>
      </c>
      <c r="AR38" s="27"/>
      <c r="AS38" s="27">
        <f>+'[1]JUNIO 2016'!$Y$1028</f>
        <v>41895406</v>
      </c>
      <c r="AT38" s="27"/>
      <c r="AU38" s="27"/>
      <c r="AV38" s="27"/>
      <c r="AW38" s="27"/>
      <c r="AX38" s="27">
        <f>+'[3]MAYO 2016'!$AG$900</f>
        <v>12034831</v>
      </c>
      <c r="AY38" s="29">
        <f t="shared" si="3"/>
        <v>0.68194048854644895</v>
      </c>
      <c r="AZ38" s="27">
        <f t="shared" si="31"/>
        <v>132042226</v>
      </c>
      <c r="BA38" s="27">
        <f t="shared" si="32"/>
        <v>0</v>
      </c>
      <c r="BB38" s="27">
        <f t="shared" si="33"/>
        <v>0</v>
      </c>
      <c r="BC38" s="27">
        <f t="shared" si="33"/>
        <v>0</v>
      </c>
      <c r="BD38" s="27">
        <f t="shared" si="33"/>
        <v>0</v>
      </c>
      <c r="BE38" s="27">
        <f t="shared" si="45"/>
        <v>0</v>
      </c>
      <c r="BF38" s="27">
        <f t="shared" si="45"/>
        <v>0</v>
      </c>
      <c r="BG38" s="27">
        <f t="shared" si="45"/>
        <v>0</v>
      </c>
      <c r="BH38" s="27">
        <f t="shared" si="45"/>
        <v>0</v>
      </c>
      <c r="BI38" s="27">
        <f t="shared" si="45"/>
        <v>0</v>
      </c>
      <c r="BJ38" s="27">
        <f t="shared" si="45"/>
        <v>0</v>
      </c>
      <c r="BK38" s="27">
        <f t="shared" si="45"/>
        <v>0</v>
      </c>
      <c r="BL38" s="27">
        <f t="shared" si="45"/>
        <v>0</v>
      </c>
      <c r="BM38" s="27">
        <f t="shared" si="45"/>
        <v>42000</v>
      </c>
      <c r="BN38" s="27">
        <f t="shared" si="45"/>
        <v>0</v>
      </c>
      <c r="BO38" s="27">
        <f t="shared" si="45"/>
        <v>106035057</v>
      </c>
      <c r="BP38" s="27">
        <f t="shared" si="45"/>
        <v>0</v>
      </c>
      <c r="BQ38" s="27"/>
      <c r="BR38" s="27"/>
      <c r="BS38" s="27">
        <f t="shared" si="46"/>
        <v>0</v>
      </c>
      <c r="BT38" s="27">
        <f t="shared" si="47"/>
        <v>25965169</v>
      </c>
      <c r="BU38" s="29">
        <f t="shared" si="10"/>
        <v>0.29419329303107511</v>
      </c>
      <c r="BV38" s="27">
        <f t="shared" si="36"/>
        <v>56963823</v>
      </c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>
        <f>+'[3]MAYO 2016'!$H$901+'[3]MAYO 2016'!$H$904+'[3]MAYO 2016'!$H$906+'[3]MAYO 2016'!$W$908</f>
        <v>7654735</v>
      </c>
      <c r="CJ38" s="27"/>
      <c r="CK38" s="27">
        <f>+'[1]JUNIO 2016'!$H$1026-CI38-CP38</f>
        <v>37274257</v>
      </c>
      <c r="CL38" s="27"/>
      <c r="CM38" s="27"/>
      <c r="CN38" s="27"/>
      <c r="CO38" s="27"/>
      <c r="CP38" s="27">
        <f>+'[1]JUNIO 2016'!$H$1031+'[1]JUNIO 2016'!$H$1044+'[1]JUNIO 2016'!$H$1046+'[1]JUNIO 2016'!$H$1047+'[1]JUNIO 2016'!$H$1049+'[1]JUNIO 2016'!$H$1053</f>
        <v>12034831</v>
      </c>
      <c r="CQ38" s="29">
        <f t="shared" si="12"/>
        <v>0.70580670696892489</v>
      </c>
      <c r="CR38" s="27">
        <f t="shared" si="37"/>
        <v>136663375</v>
      </c>
      <c r="CS38" s="27">
        <f t="shared" si="38"/>
        <v>0</v>
      </c>
      <c r="CT38" s="27">
        <f t="shared" si="38"/>
        <v>0</v>
      </c>
      <c r="CU38" s="27">
        <f t="shared" si="38"/>
        <v>0</v>
      </c>
      <c r="CV38" s="27">
        <f t="shared" si="38"/>
        <v>0</v>
      </c>
      <c r="CW38" s="27">
        <f t="shared" si="38"/>
        <v>0</v>
      </c>
      <c r="CX38" s="27">
        <f t="shared" si="38"/>
        <v>0</v>
      </c>
      <c r="CY38" s="27">
        <f t="shared" si="38"/>
        <v>0</v>
      </c>
      <c r="CZ38" s="27">
        <f t="shared" si="48"/>
        <v>0</v>
      </c>
      <c r="DA38" s="27">
        <f t="shared" si="48"/>
        <v>0</v>
      </c>
      <c r="DB38" s="27">
        <f t="shared" si="48"/>
        <v>0</v>
      </c>
      <c r="DC38" s="27">
        <f t="shared" si="40"/>
        <v>0</v>
      </c>
      <c r="DD38" s="27">
        <f t="shared" si="40"/>
        <v>0</v>
      </c>
      <c r="DE38" s="27">
        <f t="shared" si="40"/>
        <v>42000</v>
      </c>
      <c r="DF38" s="27">
        <f t="shared" si="49"/>
        <v>0</v>
      </c>
      <c r="DG38" s="27">
        <f t="shared" si="49"/>
        <v>110656206</v>
      </c>
      <c r="DH38" s="27">
        <f t="shared" si="49"/>
        <v>0</v>
      </c>
      <c r="DI38" s="27"/>
      <c r="DJ38" s="27">
        <f t="shared" si="50"/>
        <v>0</v>
      </c>
      <c r="DK38" s="27">
        <f t="shared" si="43"/>
        <v>0</v>
      </c>
      <c r="DL38" s="27">
        <f t="shared" si="51"/>
        <v>25965169</v>
      </c>
      <c r="DN38" s="193"/>
      <c r="DO38" s="193"/>
      <c r="DP38" s="193"/>
      <c r="DQ38" s="193"/>
      <c r="DR38" s="193"/>
    </row>
    <row r="39" spans="1:122" ht="30" hidden="1" customHeight="1" x14ac:dyDescent="0.25">
      <c r="A39" s="236"/>
      <c r="B39" s="230"/>
      <c r="C39" s="23" t="s">
        <v>132</v>
      </c>
      <c r="D39" s="24" t="s">
        <v>133</v>
      </c>
      <c r="E39" s="25">
        <v>410</v>
      </c>
      <c r="F39" s="26" t="s">
        <v>89</v>
      </c>
      <c r="G39" s="27">
        <f t="shared" si="29"/>
        <v>200000000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>
        <v>100000000</v>
      </c>
      <c r="U39" s="27"/>
      <c r="V39" s="27"/>
      <c r="W39" s="27"/>
      <c r="X39" s="27"/>
      <c r="Y39" s="27"/>
      <c r="Z39" s="61">
        <f>62258164+37741836</f>
        <v>100000000</v>
      </c>
      <c r="AA39" s="61"/>
      <c r="AC39" s="29">
        <f t="shared" si="1"/>
        <v>0.54790000000000005</v>
      </c>
      <c r="AD39" s="27">
        <f t="shared" si="30"/>
        <v>109580000</v>
      </c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>
        <f>+'[5]ENERO 2016'!$W$352</f>
        <v>100000000</v>
      </c>
      <c r="AR39" s="27"/>
      <c r="AS39" s="27"/>
      <c r="AT39" s="27"/>
      <c r="AU39" s="27"/>
      <c r="AV39" s="27"/>
      <c r="AW39" s="27">
        <f>+'[1]JUNIO 2016'!$AF$1063</f>
        <v>9580000</v>
      </c>
      <c r="AX39" s="27"/>
      <c r="AY39" s="29">
        <f t="shared" si="3"/>
        <v>0.45209999999999995</v>
      </c>
      <c r="AZ39" s="27">
        <f t="shared" si="31"/>
        <v>90420000</v>
      </c>
      <c r="BA39" s="27">
        <f t="shared" si="32"/>
        <v>0</v>
      </c>
      <c r="BB39" s="27">
        <f t="shared" si="33"/>
        <v>0</v>
      </c>
      <c r="BC39" s="27">
        <f t="shared" si="33"/>
        <v>0</v>
      </c>
      <c r="BD39" s="27">
        <f t="shared" si="33"/>
        <v>0</v>
      </c>
      <c r="BE39" s="27">
        <f t="shared" si="45"/>
        <v>0</v>
      </c>
      <c r="BF39" s="27">
        <f t="shared" si="45"/>
        <v>0</v>
      </c>
      <c r="BG39" s="27">
        <f t="shared" si="45"/>
        <v>0</v>
      </c>
      <c r="BH39" s="27">
        <f t="shared" si="45"/>
        <v>0</v>
      </c>
      <c r="BI39" s="27">
        <f t="shared" si="45"/>
        <v>0</v>
      </c>
      <c r="BJ39" s="27">
        <f t="shared" si="45"/>
        <v>0</v>
      </c>
      <c r="BK39" s="27">
        <f t="shared" si="45"/>
        <v>0</v>
      </c>
      <c r="BL39" s="27">
        <f t="shared" si="45"/>
        <v>0</v>
      </c>
      <c r="BM39" s="27">
        <f t="shared" si="45"/>
        <v>0</v>
      </c>
      <c r="BN39" s="27">
        <f t="shared" si="45"/>
        <v>0</v>
      </c>
      <c r="BO39" s="27">
        <f t="shared" si="45"/>
        <v>0</v>
      </c>
      <c r="BP39" s="27">
        <f t="shared" si="45"/>
        <v>0</v>
      </c>
      <c r="BQ39" s="27"/>
      <c r="BR39" s="27"/>
      <c r="BS39" s="27">
        <f t="shared" si="46"/>
        <v>90420000</v>
      </c>
      <c r="BT39" s="27">
        <f t="shared" si="47"/>
        <v>0</v>
      </c>
      <c r="BU39" s="29">
        <f t="shared" si="10"/>
        <v>0.54790000000000005</v>
      </c>
      <c r="BV39" s="27">
        <f t="shared" si="36"/>
        <v>109580000</v>
      </c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>
        <f>+'[2]MARZO 2016 ULTIMO'!$H$622</f>
        <v>100000000</v>
      </c>
      <c r="CJ39" s="27"/>
      <c r="CK39" s="27"/>
      <c r="CL39" s="27"/>
      <c r="CM39" s="27"/>
      <c r="CN39" s="27"/>
      <c r="CO39" s="27">
        <f>+'[1]JUNIO 2016'!$AF$1063</f>
        <v>9580000</v>
      </c>
      <c r="CP39" s="27"/>
      <c r="CQ39" s="29">
        <f t="shared" si="12"/>
        <v>0.45209999999999995</v>
      </c>
      <c r="CR39" s="27">
        <f t="shared" si="37"/>
        <v>90420000</v>
      </c>
      <c r="CS39" s="27">
        <f t="shared" si="38"/>
        <v>0</v>
      </c>
      <c r="CT39" s="27">
        <f t="shared" si="38"/>
        <v>0</v>
      </c>
      <c r="CU39" s="27">
        <f t="shared" si="38"/>
        <v>0</v>
      </c>
      <c r="CV39" s="27">
        <f t="shared" si="38"/>
        <v>0</v>
      </c>
      <c r="CW39" s="27">
        <f t="shared" si="38"/>
        <v>0</v>
      </c>
      <c r="CX39" s="27">
        <f t="shared" si="38"/>
        <v>0</v>
      </c>
      <c r="CY39" s="27">
        <f t="shared" si="38"/>
        <v>0</v>
      </c>
      <c r="CZ39" s="27">
        <f t="shared" si="48"/>
        <v>0</v>
      </c>
      <c r="DA39" s="27">
        <f t="shared" si="48"/>
        <v>0</v>
      </c>
      <c r="DB39" s="27">
        <f t="shared" si="48"/>
        <v>0</v>
      </c>
      <c r="DC39" s="27">
        <f t="shared" si="40"/>
        <v>0</v>
      </c>
      <c r="DD39" s="27">
        <f t="shared" si="40"/>
        <v>0</v>
      </c>
      <c r="DE39" s="27">
        <f t="shared" si="40"/>
        <v>0</v>
      </c>
      <c r="DF39" s="27">
        <f t="shared" si="49"/>
        <v>0</v>
      </c>
      <c r="DG39" s="27">
        <f t="shared" si="49"/>
        <v>0</v>
      </c>
      <c r="DH39" s="27">
        <f t="shared" si="49"/>
        <v>0</v>
      </c>
      <c r="DI39" s="27"/>
      <c r="DJ39" s="27">
        <f t="shared" si="50"/>
        <v>0</v>
      </c>
      <c r="DK39" s="27">
        <f t="shared" si="43"/>
        <v>90420000</v>
      </c>
      <c r="DL39" s="27">
        <f t="shared" si="51"/>
        <v>0</v>
      </c>
      <c r="DN39" s="193"/>
      <c r="DO39" s="193"/>
      <c r="DP39" s="193"/>
      <c r="DQ39" s="193"/>
      <c r="DR39" s="193"/>
    </row>
    <row r="40" spans="1:122" ht="25.5" hidden="1" customHeight="1" x14ac:dyDescent="0.25">
      <c r="A40" s="236"/>
      <c r="B40" s="231"/>
      <c r="C40" s="23" t="s">
        <v>134</v>
      </c>
      <c r="D40" s="24" t="s">
        <v>135</v>
      </c>
      <c r="E40" s="25">
        <v>410</v>
      </c>
      <c r="F40" s="26" t="s">
        <v>75</v>
      </c>
      <c r="G40" s="27">
        <f t="shared" si="29"/>
        <v>0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61"/>
      <c r="AA40" s="61">
        <f>5000000-5000000</f>
        <v>0</v>
      </c>
      <c r="AC40" s="29" t="e">
        <f t="shared" si="1"/>
        <v>#DIV/0!</v>
      </c>
      <c r="AD40" s="27">
        <f t="shared" si="30"/>
        <v>0</v>
      </c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9" t="e">
        <f t="shared" si="3"/>
        <v>#DIV/0!</v>
      </c>
      <c r="AZ40" s="27">
        <f t="shared" si="31"/>
        <v>0</v>
      </c>
      <c r="BA40" s="27">
        <f t="shared" si="32"/>
        <v>0</v>
      </c>
      <c r="BB40" s="27">
        <f t="shared" si="33"/>
        <v>0</v>
      </c>
      <c r="BC40" s="27">
        <f t="shared" si="33"/>
        <v>0</v>
      </c>
      <c r="BD40" s="27">
        <f t="shared" si="33"/>
        <v>0</v>
      </c>
      <c r="BE40" s="27">
        <f t="shared" si="45"/>
        <v>0</v>
      </c>
      <c r="BF40" s="27">
        <f t="shared" si="45"/>
        <v>0</v>
      </c>
      <c r="BG40" s="27">
        <f t="shared" si="45"/>
        <v>0</v>
      </c>
      <c r="BH40" s="27">
        <f t="shared" si="45"/>
        <v>0</v>
      </c>
      <c r="BI40" s="27">
        <f t="shared" si="45"/>
        <v>0</v>
      </c>
      <c r="BJ40" s="27">
        <f t="shared" si="45"/>
        <v>0</v>
      </c>
      <c r="BK40" s="27">
        <f t="shared" si="45"/>
        <v>0</v>
      </c>
      <c r="BL40" s="27">
        <f t="shared" si="45"/>
        <v>0</v>
      </c>
      <c r="BM40" s="27">
        <f t="shared" si="45"/>
        <v>0</v>
      </c>
      <c r="BN40" s="27">
        <f t="shared" si="45"/>
        <v>0</v>
      </c>
      <c r="BO40" s="27">
        <f t="shared" si="45"/>
        <v>0</v>
      </c>
      <c r="BP40" s="27">
        <f t="shared" si="45"/>
        <v>0</v>
      </c>
      <c r="BQ40" s="27"/>
      <c r="BR40" s="27"/>
      <c r="BS40" s="27">
        <f t="shared" si="46"/>
        <v>0</v>
      </c>
      <c r="BT40" s="27">
        <f t="shared" si="47"/>
        <v>0</v>
      </c>
      <c r="BU40" s="29" t="e">
        <f t="shared" si="10"/>
        <v>#DIV/0!</v>
      </c>
      <c r="BV40" s="27">
        <f t="shared" si="36"/>
        <v>0</v>
      </c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9" t="e">
        <f t="shared" si="12"/>
        <v>#DIV/0!</v>
      </c>
      <c r="CR40" s="27">
        <f t="shared" si="37"/>
        <v>0</v>
      </c>
      <c r="CS40" s="27">
        <f t="shared" si="38"/>
        <v>0</v>
      </c>
      <c r="CT40" s="27">
        <f t="shared" si="38"/>
        <v>0</v>
      </c>
      <c r="CU40" s="27">
        <f t="shared" si="38"/>
        <v>0</v>
      </c>
      <c r="CV40" s="27">
        <f t="shared" si="38"/>
        <v>0</v>
      </c>
      <c r="CW40" s="27">
        <f t="shared" si="38"/>
        <v>0</v>
      </c>
      <c r="CX40" s="27">
        <f t="shared" si="38"/>
        <v>0</v>
      </c>
      <c r="CY40" s="27">
        <f t="shared" si="38"/>
        <v>0</v>
      </c>
      <c r="CZ40" s="27">
        <f t="shared" si="48"/>
        <v>0</v>
      </c>
      <c r="DA40" s="27">
        <f t="shared" si="48"/>
        <v>0</v>
      </c>
      <c r="DB40" s="27">
        <f t="shared" si="48"/>
        <v>0</v>
      </c>
      <c r="DC40" s="27">
        <f t="shared" si="40"/>
        <v>0</v>
      </c>
      <c r="DD40" s="27">
        <f t="shared" si="40"/>
        <v>0</v>
      </c>
      <c r="DE40" s="27">
        <f t="shared" si="40"/>
        <v>0</v>
      </c>
      <c r="DF40" s="27">
        <f t="shared" si="49"/>
        <v>0</v>
      </c>
      <c r="DG40" s="27">
        <f t="shared" si="49"/>
        <v>0</v>
      </c>
      <c r="DH40" s="27">
        <f t="shared" si="49"/>
        <v>0</v>
      </c>
      <c r="DI40" s="27"/>
      <c r="DJ40" s="27">
        <f t="shared" si="50"/>
        <v>0</v>
      </c>
      <c r="DK40" s="27">
        <f t="shared" si="43"/>
        <v>0</v>
      </c>
      <c r="DL40" s="27">
        <f t="shared" si="51"/>
        <v>0</v>
      </c>
      <c r="DN40" s="193"/>
      <c r="DO40" s="193"/>
      <c r="DP40" s="193"/>
      <c r="DQ40" s="193"/>
      <c r="DR40" s="193"/>
    </row>
    <row r="41" spans="1:122" ht="20.25" hidden="1" customHeight="1" x14ac:dyDescent="0.25">
      <c r="A41" s="236"/>
      <c r="B41" s="229" t="s">
        <v>136</v>
      </c>
      <c r="C41" s="23" t="s">
        <v>137</v>
      </c>
      <c r="D41" s="24" t="s">
        <v>138</v>
      </c>
      <c r="E41" s="25">
        <v>410</v>
      </c>
      <c r="F41" s="26" t="s">
        <v>89</v>
      </c>
      <c r="G41" s="27">
        <f t="shared" si="29"/>
        <v>1344000000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>
        <f>1300000000+44000000</f>
        <v>1344000000</v>
      </c>
      <c r="T41" s="27"/>
      <c r="U41" s="27"/>
      <c r="V41" s="27"/>
      <c r="W41" s="27"/>
      <c r="X41" s="27"/>
      <c r="Y41" s="27"/>
      <c r="Z41" s="61"/>
      <c r="AA41" s="61"/>
      <c r="AC41" s="29">
        <f t="shared" si="1"/>
        <v>0.96726190476190477</v>
      </c>
      <c r="AD41" s="27">
        <f t="shared" si="30"/>
        <v>1300000000</v>
      </c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>
        <f>+'[3]MAYO 2016'!$V$947</f>
        <v>1300000000</v>
      </c>
      <c r="AQ41" s="27"/>
      <c r="AR41" s="27"/>
      <c r="AS41" s="27"/>
      <c r="AT41" s="27"/>
      <c r="AU41" s="27"/>
      <c r="AV41" s="27"/>
      <c r="AW41" s="27"/>
      <c r="AX41" s="27"/>
      <c r="AY41" s="29">
        <f t="shared" si="3"/>
        <v>3.2738095238095233E-2</v>
      </c>
      <c r="AZ41" s="27">
        <f t="shared" si="31"/>
        <v>44000000</v>
      </c>
      <c r="BA41" s="27">
        <f t="shared" si="32"/>
        <v>0</v>
      </c>
      <c r="BB41" s="27">
        <f t="shared" si="33"/>
        <v>0</v>
      </c>
      <c r="BC41" s="27">
        <f t="shared" si="33"/>
        <v>0</v>
      </c>
      <c r="BD41" s="27">
        <f t="shared" si="33"/>
        <v>0</v>
      </c>
      <c r="BE41" s="27">
        <f t="shared" si="45"/>
        <v>0</v>
      </c>
      <c r="BF41" s="27">
        <f t="shared" si="45"/>
        <v>0</v>
      </c>
      <c r="BG41" s="27">
        <f t="shared" si="45"/>
        <v>0</v>
      </c>
      <c r="BH41" s="27">
        <f t="shared" si="45"/>
        <v>0</v>
      </c>
      <c r="BI41" s="27">
        <f t="shared" si="45"/>
        <v>0</v>
      </c>
      <c r="BJ41" s="27">
        <f t="shared" si="45"/>
        <v>0</v>
      </c>
      <c r="BK41" s="27">
        <f t="shared" si="45"/>
        <v>0</v>
      </c>
      <c r="BL41" s="27">
        <f t="shared" si="45"/>
        <v>44000000</v>
      </c>
      <c r="BM41" s="27">
        <f t="shared" si="45"/>
        <v>0</v>
      </c>
      <c r="BN41" s="27">
        <f t="shared" si="45"/>
        <v>0</v>
      </c>
      <c r="BO41" s="27">
        <f t="shared" si="45"/>
        <v>0</v>
      </c>
      <c r="BP41" s="27">
        <f t="shared" si="45"/>
        <v>0</v>
      </c>
      <c r="BQ41" s="27"/>
      <c r="BR41" s="27">
        <f>+Y41-AV41</f>
        <v>0</v>
      </c>
      <c r="BS41" s="27">
        <f t="shared" si="46"/>
        <v>0</v>
      </c>
      <c r="BT41" s="27">
        <f t="shared" si="47"/>
        <v>0</v>
      </c>
      <c r="BU41" s="29">
        <f t="shared" si="10"/>
        <v>0.54805981919642854</v>
      </c>
      <c r="BV41" s="27">
        <f t="shared" si="36"/>
        <v>736592397</v>
      </c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>
        <f>+'[1]JUNIO 2016'!$H$1079</f>
        <v>736592397</v>
      </c>
      <c r="CI41" s="27"/>
      <c r="CJ41" s="27"/>
      <c r="CK41" s="27"/>
      <c r="CL41" s="27"/>
      <c r="CM41" s="27"/>
      <c r="CN41" s="27"/>
      <c r="CO41" s="27"/>
      <c r="CP41" s="27"/>
      <c r="CQ41" s="29">
        <f t="shared" si="12"/>
        <v>0.45194018080357146</v>
      </c>
      <c r="CR41" s="27">
        <f t="shared" si="37"/>
        <v>607407603</v>
      </c>
      <c r="CS41" s="27">
        <f t="shared" si="38"/>
        <v>0</v>
      </c>
      <c r="CT41" s="27">
        <f t="shared" si="38"/>
        <v>0</v>
      </c>
      <c r="CU41" s="27">
        <f t="shared" si="38"/>
        <v>0</v>
      </c>
      <c r="CV41" s="27">
        <f t="shared" si="38"/>
        <v>0</v>
      </c>
      <c r="CW41" s="27">
        <f t="shared" si="38"/>
        <v>0</v>
      </c>
      <c r="CX41" s="27">
        <f t="shared" si="38"/>
        <v>0</v>
      </c>
      <c r="CY41" s="27">
        <f t="shared" si="38"/>
        <v>0</v>
      </c>
      <c r="CZ41" s="27">
        <f t="shared" si="48"/>
        <v>0</v>
      </c>
      <c r="DA41" s="27">
        <f t="shared" si="48"/>
        <v>0</v>
      </c>
      <c r="DB41" s="27">
        <f t="shared" si="48"/>
        <v>0</v>
      </c>
      <c r="DC41" s="27">
        <f t="shared" si="40"/>
        <v>0</v>
      </c>
      <c r="DD41" s="27">
        <f t="shared" si="40"/>
        <v>607407603</v>
      </c>
      <c r="DE41" s="27">
        <f t="shared" si="40"/>
        <v>0</v>
      </c>
      <c r="DF41" s="27">
        <f t="shared" si="49"/>
        <v>0</v>
      </c>
      <c r="DG41" s="27">
        <f t="shared" si="49"/>
        <v>0</v>
      </c>
      <c r="DH41" s="27">
        <f t="shared" si="49"/>
        <v>0</v>
      </c>
      <c r="DI41" s="27"/>
      <c r="DJ41" s="27">
        <f t="shared" si="50"/>
        <v>0</v>
      </c>
      <c r="DK41" s="27">
        <f t="shared" si="43"/>
        <v>0</v>
      </c>
      <c r="DL41" s="27">
        <f t="shared" si="51"/>
        <v>0</v>
      </c>
      <c r="DN41" s="193"/>
      <c r="DO41" s="193"/>
      <c r="DP41" s="193"/>
      <c r="DQ41" s="193"/>
      <c r="DR41" s="193"/>
    </row>
    <row r="42" spans="1:122" ht="29.25" hidden="1" customHeight="1" x14ac:dyDescent="0.25">
      <c r="A42" s="236"/>
      <c r="B42" s="230"/>
      <c r="C42" s="23" t="s">
        <v>139</v>
      </c>
      <c r="D42" s="24" t="s">
        <v>140</v>
      </c>
      <c r="E42" s="25">
        <v>410</v>
      </c>
      <c r="F42" s="26" t="s">
        <v>89</v>
      </c>
      <c r="G42" s="27">
        <f t="shared" si="29"/>
        <v>96094870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>
        <f>50000000+3094870+20000000+23000000</f>
        <v>96094870</v>
      </c>
      <c r="W42" s="27"/>
      <c r="X42" s="27"/>
      <c r="Y42" s="27"/>
      <c r="Z42" s="61"/>
      <c r="AA42" s="61"/>
      <c r="AC42" s="29">
        <f t="shared" si="1"/>
        <v>0.81574458657366411</v>
      </c>
      <c r="AD42" s="27">
        <f t="shared" si="30"/>
        <v>78388870</v>
      </c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>
        <f>+'[1]JUNIO 2016'!$Y$1217</f>
        <v>78388870</v>
      </c>
      <c r="AT42" s="27"/>
      <c r="AU42" s="27"/>
      <c r="AV42" s="27"/>
      <c r="AW42" s="27"/>
      <c r="AX42" s="27"/>
      <c r="AY42" s="29">
        <f t="shared" si="3"/>
        <v>0.18425541342633589</v>
      </c>
      <c r="AZ42" s="27">
        <f t="shared" si="31"/>
        <v>17706000</v>
      </c>
      <c r="BA42" s="27">
        <f t="shared" si="32"/>
        <v>0</v>
      </c>
      <c r="BB42" s="27">
        <f t="shared" si="33"/>
        <v>0</v>
      </c>
      <c r="BC42" s="27">
        <f t="shared" si="33"/>
        <v>0</v>
      </c>
      <c r="BD42" s="27">
        <f t="shared" si="33"/>
        <v>0</v>
      </c>
      <c r="BE42" s="27">
        <f t="shared" si="45"/>
        <v>0</v>
      </c>
      <c r="BF42" s="27">
        <f t="shared" si="45"/>
        <v>0</v>
      </c>
      <c r="BG42" s="27">
        <f t="shared" si="45"/>
        <v>0</v>
      </c>
      <c r="BH42" s="27">
        <f t="shared" si="45"/>
        <v>0</v>
      </c>
      <c r="BI42" s="27">
        <f>+P42-AN42</f>
        <v>0</v>
      </c>
      <c r="BJ42" s="27">
        <f>+Q42-AO42</f>
        <v>0</v>
      </c>
      <c r="BK42" s="27">
        <f t="shared" si="45"/>
        <v>0</v>
      </c>
      <c r="BL42" s="27">
        <f t="shared" si="45"/>
        <v>0</v>
      </c>
      <c r="BM42" s="27">
        <f t="shared" si="45"/>
        <v>0</v>
      </c>
      <c r="BN42" s="27">
        <f t="shared" si="45"/>
        <v>0</v>
      </c>
      <c r="BO42" s="27">
        <f t="shared" si="45"/>
        <v>17706000</v>
      </c>
      <c r="BP42" s="27">
        <f t="shared" si="45"/>
        <v>0</v>
      </c>
      <c r="BQ42" s="27"/>
      <c r="BR42" s="27">
        <f>+Y42-AV42</f>
        <v>0</v>
      </c>
      <c r="BS42" s="27">
        <f t="shared" si="46"/>
        <v>0</v>
      </c>
      <c r="BT42" s="27">
        <f t="shared" si="47"/>
        <v>0</v>
      </c>
      <c r="BU42" s="29">
        <f t="shared" si="10"/>
        <v>0.74003816228691499</v>
      </c>
      <c r="BV42" s="27">
        <f t="shared" si="36"/>
        <v>71113871</v>
      </c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>
        <f>+'[3]MAYO 2016'!$H$1077</f>
        <v>71113871</v>
      </c>
      <c r="CL42" s="27"/>
      <c r="CM42" s="27"/>
      <c r="CN42" s="27"/>
      <c r="CO42" s="27"/>
      <c r="CP42" s="27"/>
      <c r="CQ42" s="29">
        <f t="shared" si="12"/>
        <v>0.25996183771308501</v>
      </c>
      <c r="CR42" s="27">
        <f t="shared" si="37"/>
        <v>24980999</v>
      </c>
      <c r="CS42" s="27">
        <f t="shared" si="38"/>
        <v>0</v>
      </c>
      <c r="CT42" s="27">
        <f t="shared" si="38"/>
        <v>0</v>
      </c>
      <c r="CU42" s="27">
        <f t="shared" si="38"/>
        <v>0</v>
      </c>
      <c r="CV42" s="27">
        <f t="shared" si="38"/>
        <v>0</v>
      </c>
      <c r="CW42" s="27">
        <f t="shared" si="38"/>
        <v>0</v>
      </c>
      <c r="CX42" s="27">
        <f t="shared" si="38"/>
        <v>0</v>
      </c>
      <c r="CY42" s="27">
        <f t="shared" si="38"/>
        <v>0</v>
      </c>
      <c r="CZ42" s="27">
        <f t="shared" si="48"/>
        <v>0</v>
      </c>
      <c r="DA42" s="27">
        <f t="shared" si="48"/>
        <v>0</v>
      </c>
      <c r="DB42" s="27">
        <f t="shared" si="48"/>
        <v>0</v>
      </c>
      <c r="DC42" s="27">
        <f t="shared" si="40"/>
        <v>0</v>
      </c>
      <c r="DD42" s="27">
        <f t="shared" si="40"/>
        <v>0</v>
      </c>
      <c r="DE42" s="27">
        <f t="shared" si="40"/>
        <v>0</v>
      </c>
      <c r="DF42" s="27">
        <f t="shared" si="49"/>
        <v>0</v>
      </c>
      <c r="DG42" s="27">
        <f t="shared" si="49"/>
        <v>24980999</v>
      </c>
      <c r="DH42" s="27">
        <f t="shared" si="49"/>
        <v>0</v>
      </c>
      <c r="DI42" s="27"/>
      <c r="DJ42" s="27">
        <f t="shared" si="50"/>
        <v>0</v>
      </c>
      <c r="DK42" s="27">
        <f t="shared" si="43"/>
        <v>0</v>
      </c>
      <c r="DL42" s="27">
        <f t="shared" si="51"/>
        <v>0</v>
      </c>
      <c r="DN42" s="193"/>
      <c r="DO42" s="193"/>
      <c r="DP42" s="193"/>
      <c r="DQ42" s="193"/>
      <c r="DR42" s="193"/>
    </row>
    <row r="43" spans="1:122" ht="18.75" hidden="1" customHeight="1" x14ac:dyDescent="0.25">
      <c r="A43" s="236"/>
      <c r="B43" s="231"/>
      <c r="C43" s="23" t="s">
        <v>141</v>
      </c>
      <c r="D43" s="24" t="s">
        <v>142</v>
      </c>
      <c r="E43" s="25">
        <v>410</v>
      </c>
      <c r="F43" s="26" t="s">
        <v>89</v>
      </c>
      <c r="G43" s="27">
        <f t="shared" si="29"/>
        <v>16905130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>
        <f>20000000-3094870</f>
        <v>16905130</v>
      </c>
      <c r="W43" s="27"/>
      <c r="X43" s="27"/>
      <c r="Y43" s="27"/>
      <c r="Z43" s="61"/>
      <c r="AA43" s="61"/>
      <c r="AC43" s="29">
        <f t="shared" si="1"/>
        <v>1</v>
      </c>
      <c r="AD43" s="27">
        <f t="shared" si="30"/>
        <v>16905130</v>
      </c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>
        <f>+'[2]MARZO 2016 ULTIMO'!$Y$724</f>
        <v>16905130</v>
      </c>
      <c r="AT43" s="27"/>
      <c r="AU43" s="27"/>
      <c r="AV43" s="27"/>
      <c r="AW43" s="27"/>
      <c r="AX43" s="27"/>
      <c r="AY43" s="29">
        <f t="shared" si="3"/>
        <v>0</v>
      </c>
      <c r="AZ43" s="27">
        <f t="shared" si="31"/>
        <v>0</v>
      </c>
      <c r="BA43" s="27">
        <f t="shared" si="32"/>
        <v>0</v>
      </c>
      <c r="BB43" s="27">
        <f t="shared" si="33"/>
        <v>0</v>
      </c>
      <c r="BC43" s="27">
        <f t="shared" si="33"/>
        <v>0</v>
      </c>
      <c r="BD43" s="27">
        <f t="shared" si="33"/>
        <v>0</v>
      </c>
      <c r="BE43" s="27">
        <f t="shared" si="45"/>
        <v>0</v>
      </c>
      <c r="BF43" s="27">
        <f t="shared" si="45"/>
        <v>0</v>
      </c>
      <c r="BG43" s="27">
        <f t="shared" si="45"/>
        <v>0</v>
      </c>
      <c r="BH43" s="27">
        <f t="shared" si="45"/>
        <v>0</v>
      </c>
      <c r="BI43" s="27">
        <f>+P43-AN43</f>
        <v>0</v>
      </c>
      <c r="BJ43" s="27">
        <f>+Q43-AO43</f>
        <v>0</v>
      </c>
      <c r="BK43" s="27">
        <f t="shared" si="45"/>
        <v>0</v>
      </c>
      <c r="BL43" s="27">
        <f t="shared" si="45"/>
        <v>0</v>
      </c>
      <c r="BM43" s="27">
        <f t="shared" si="45"/>
        <v>0</v>
      </c>
      <c r="BN43" s="27"/>
      <c r="BO43" s="27">
        <f t="shared" si="45"/>
        <v>0</v>
      </c>
      <c r="BP43" s="27">
        <f t="shared" si="45"/>
        <v>0</v>
      </c>
      <c r="BQ43" s="27"/>
      <c r="BR43" s="27"/>
      <c r="BS43" s="27">
        <f t="shared" si="46"/>
        <v>0</v>
      </c>
      <c r="BT43" s="27">
        <f t="shared" si="47"/>
        <v>0</v>
      </c>
      <c r="BU43" s="29">
        <f t="shared" si="10"/>
        <v>1</v>
      </c>
      <c r="BV43" s="27">
        <f t="shared" si="36"/>
        <v>16905130</v>
      </c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>
        <f>+'[4]ABRIL 2016'!$H$929</f>
        <v>16905130</v>
      </c>
      <c r="CL43" s="27"/>
      <c r="CM43" s="27"/>
      <c r="CN43" s="27"/>
      <c r="CO43" s="27"/>
      <c r="CP43" s="27"/>
      <c r="CQ43" s="29">
        <f t="shared" si="12"/>
        <v>0</v>
      </c>
      <c r="CR43" s="27">
        <f t="shared" si="37"/>
        <v>0</v>
      </c>
      <c r="CS43" s="27">
        <f t="shared" si="38"/>
        <v>0</v>
      </c>
      <c r="CT43" s="27">
        <f t="shared" si="38"/>
        <v>0</v>
      </c>
      <c r="CU43" s="27">
        <f t="shared" si="38"/>
        <v>0</v>
      </c>
      <c r="CV43" s="27">
        <f t="shared" si="38"/>
        <v>0</v>
      </c>
      <c r="CW43" s="27">
        <f t="shared" si="38"/>
        <v>0</v>
      </c>
      <c r="CX43" s="27">
        <f t="shared" si="38"/>
        <v>0</v>
      </c>
      <c r="CY43" s="27">
        <f t="shared" si="38"/>
        <v>0</v>
      </c>
      <c r="CZ43" s="27">
        <f t="shared" si="48"/>
        <v>0</v>
      </c>
      <c r="DA43" s="27">
        <f t="shared" si="48"/>
        <v>0</v>
      </c>
      <c r="DB43" s="27">
        <f t="shared" si="48"/>
        <v>0</v>
      </c>
      <c r="DC43" s="27">
        <f t="shared" si="40"/>
        <v>0</v>
      </c>
      <c r="DD43" s="27">
        <f t="shared" si="40"/>
        <v>0</v>
      </c>
      <c r="DE43" s="27">
        <f t="shared" si="40"/>
        <v>0</v>
      </c>
      <c r="DF43" s="27">
        <f t="shared" si="49"/>
        <v>0</v>
      </c>
      <c r="DG43" s="27">
        <f t="shared" si="49"/>
        <v>0</v>
      </c>
      <c r="DH43" s="27">
        <f t="shared" si="49"/>
        <v>0</v>
      </c>
      <c r="DI43" s="27"/>
      <c r="DJ43" s="27">
        <f t="shared" si="50"/>
        <v>0</v>
      </c>
      <c r="DK43" s="27">
        <f t="shared" si="43"/>
        <v>0</v>
      </c>
      <c r="DL43" s="27">
        <f t="shared" si="51"/>
        <v>0</v>
      </c>
      <c r="DN43" s="193"/>
      <c r="DO43" s="193"/>
      <c r="DP43" s="193"/>
      <c r="DQ43" s="193"/>
      <c r="DR43" s="193"/>
    </row>
    <row r="44" spans="1:122" ht="19.5" hidden="1" customHeight="1" x14ac:dyDescent="0.25">
      <c r="A44" s="236"/>
      <c r="B44" s="229" t="s">
        <v>143</v>
      </c>
      <c r="C44" s="23" t="s">
        <v>144</v>
      </c>
      <c r="D44" s="24" t="s">
        <v>145</v>
      </c>
      <c r="E44" s="25">
        <v>410</v>
      </c>
      <c r="F44" s="26" t="s">
        <v>89</v>
      </c>
      <c r="G44" s="27">
        <f t="shared" si="29"/>
        <v>20000000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>
        <v>20000000</v>
      </c>
      <c r="W44" s="27"/>
      <c r="X44" s="27"/>
      <c r="Y44" s="27"/>
      <c r="Z44" s="61"/>
      <c r="AA44" s="61"/>
      <c r="AC44" s="29">
        <f t="shared" si="1"/>
        <v>1</v>
      </c>
      <c r="AD44" s="27">
        <f t="shared" si="30"/>
        <v>20000000</v>
      </c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>
        <f>+'[5]ENERO 2016'!$Y$406</f>
        <v>20000000</v>
      </c>
      <c r="AT44" s="27"/>
      <c r="AU44" s="27"/>
      <c r="AV44" s="27"/>
      <c r="AW44" s="27"/>
      <c r="AX44" s="27"/>
      <c r="AY44" s="29">
        <f t="shared" si="3"/>
        <v>0</v>
      </c>
      <c r="AZ44" s="27">
        <f t="shared" si="31"/>
        <v>0</v>
      </c>
      <c r="BA44" s="27">
        <f t="shared" si="32"/>
        <v>0</v>
      </c>
      <c r="BB44" s="27">
        <f t="shared" si="33"/>
        <v>0</v>
      </c>
      <c r="BC44" s="27">
        <f t="shared" si="33"/>
        <v>0</v>
      </c>
      <c r="BD44" s="27">
        <f t="shared" si="33"/>
        <v>0</v>
      </c>
      <c r="BE44" s="27">
        <f t="shared" si="45"/>
        <v>0</v>
      </c>
      <c r="BF44" s="27">
        <f t="shared" si="45"/>
        <v>0</v>
      </c>
      <c r="BG44" s="27">
        <f t="shared" si="45"/>
        <v>0</v>
      </c>
      <c r="BH44" s="27">
        <f t="shared" si="45"/>
        <v>0</v>
      </c>
      <c r="BI44" s="27">
        <f t="shared" si="45"/>
        <v>0</v>
      </c>
      <c r="BJ44" s="27">
        <f t="shared" ref="BJ44:BJ57" si="52">+Q44-AO44</f>
        <v>0</v>
      </c>
      <c r="BK44" s="27">
        <f t="shared" si="45"/>
        <v>0</v>
      </c>
      <c r="BL44" s="27">
        <f t="shared" si="45"/>
        <v>0</v>
      </c>
      <c r="BM44" s="27">
        <f t="shared" si="45"/>
        <v>0</v>
      </c>
      <c r="BN44" s="27">
        <f>+U44-AR44</f>
        <v>0</v>
      </c>
      <c r="BO44" s="27">
        <f t="shared" si="45"/>
        <v>0</v>
      </c>
      <c r="BP44" s="27">
        <f t="shared" si="45"/>
        <v>0</v>
      </c>
      <c r="BQ44" s="27"/>
      <c r="BR44" s="27">
        <f>+Y44-AV44</f>
        <v>0</v>
      </c>
      <c r="BS44" s="27">
        <f t="shared" si="46"/>
        <v>0</v>
      </c>
      <c r="BT44" s="27">
        <f t="shared" si="47"/>
        <v>0</v>
      </c>
      <c r="BU44" s="29">
        <f t="shared" si="10"/>
        <v>0.90854349999999995</v>
      </c>
      <c r="BV44" s="27">
        <f t="shared" si="36"/>
        <v>18170870</v>
      </c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>
        <f>+'[3]MAYO 2016'!$H$1107</f>
        <v>18170870</v>
      </c>
      <c r="CL44" s="27"/>
      <c r="CM44" s="27"/>
      <c r="CN44" s="27"/>
      <c r="CO44" s="27"/>
      <c r="CP44" s="27"/>
      <c r="CQ44" s="29">
        <f t="shared" si="12"/>
        <v>9.1456500000000052E-2</v>
      </c>
      <c r="CR44" s="27">
        <f t="shared" si="37"/>
        <v>1829130</v>
      </c>
      <c r="CS44" s="27">
        <f t="shared" si="38"/>
        <v>0</v>
      </c>
      <c r="CT44" s="27">
        <f t="shared" si="38"/>
        <v>0</v>
      </c>
      <c r="CU44" s="27">
        <f t="shared" si="38"/>
        <v>0</v>
      </c>
      <c r="CV44" s="27">
        <f t="shared" si="38"/>
        <v>0</v>
      </c>
      <c r="CW44" s="27">
        <f t="shared" si="38"/>
        <v>0</v>
      </c>
      <c r="CX44" s="27">
        <f t="shared" si="38"/>
        <v>0</v>
      </c>
      <c r="CY44" s="27">
        <f t="shared" si="38"/>
        <v>0</v>
      </c>
      <c r="CZ44" s="27">
        <f t="shared" si="48"/>
        <v>0</v>
      </c>
      <c r="DA44" s="27">
        <f t="shared" si="48"/>
        <v>0</v>
      </c>
      <c r="DB44" s="27">
        <f t="shared" si="48"/>
        <v>0</v>
      </c>
      <c r="DC44" s="27">
        <f t="shared" si="40"/>
        <v>0</v>
      </c>
      <c r="DD44" s="27">
        <f t="shared" si="40"/>
        <v>0</v>
      </c>
      <c r="DE44" s="27">
        <f t="shared" si="40"/>
        <v>0</v>
      </c>
      <c r="DF44" s="27">
        <f t="shared" si="49"/>
        <v>0</v>
      </c>
      <c r="DG44" s="27">
        <f t="shared" si="49"/>
        <v>1829130</v>
      </c>
      <c r="DH44" s="27">
        <f t="shared" si="49"/>
        <v>0</v>
      </c>
      <c r="DI44" s="27"/>
      <c r="DJ44" s="27">
        <f t="shared" si="50"/>
        <v>0</v>
      </c>
      <c r="DK44" s="27">
        <f t="shared" si="43"/>
        <v>0</v>
      </c>
      <c r="DL44" s="27">
        <f t="shared" si="51"/>
        <v>0</v>
      </c>
      <c r="DN44" s="193"/>
      <c r="DO44" s="193"/>
      <c r="DP44" s="193"/>
      <c r="DQ44" s="193"/>
      <c r="DR44" s="193"/>
    </row>
    <row r="45" spans="1:122" ht="33.75" hidden="1" customHeight="1" x14ac:dyDescent="0.25">
      <c r="A45" s="236"/>
      <c r="B45" s="230"/>
      <c r="C45" s="23" t="s">
        <v>146</v>
      </c>
      <c r="D45" s="24" t="s">
        <v>147</v>
      </c>
      <c r="E45" s="25">
        <v>410</v>
      </c>
      <c r="F45" s="26" t="s">
        <v>89</v>
      </c>
      <c r="G45" s="27">
        <f t="shared" si="29"/>
        <v>10000000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>
        <v>10000000</v>
      </c>
      <c r="W45" s="27"/>
      <c r="X45" s="27"/>
      <c r="Y45" s="27"/>
      <c r="Z45" s="61"/>
      <c r="AA45" s="61"/>
      <c r="AC45" s="29">
        <f t="shared" si="1"/>
        <v>0.92333399999999999</v>
      </c>
      <c r="AD45" s="27">
        <f t="shared" si="30"/>
        <v>9233340</v>
      </c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>
        <f>+'[3]MAYO 2016'!$G$1115</f>
        <v>9233340</v>
      </c>
      <c r="AT45" s="27"/>
      <c r="AU45" s="27"/>
      <c r="AV45" s="27"/>
      <c r="AW45" s="27"/>
      <c r="AX45" s="27"/>
      <c r="AY45" s="29">
        <f t="shared" si="3"/>
        <v>7.6666000000000012E-2</v>
      </c>
      <c r="AZ45" s="27">
        <f t="shared" si="31"/>
        <v>766660</v>
      </c>
      <c r="BA45" s="27">
        <f t="shared" si="32"/>
        <v>0</v>
      </c>
      <c r="BB45" s="27">
        <f t="shared" si="33"/>
        <v>0</v>
      </c>
      <c r="BC45" s="27">
        <f t="shared" si="33"/>
        <v>0</v>
      </c>
      <c r="BD45" s="27">
        <f t="shared" si="33"/>
        <v>0</v>
      </c>
      <c r="BE45" s="27">
        <f t="shared" si="45"/>
        <v>0</v>
      </c>
      <c r="BF45" s="27">
        <f t="shared" si="45"/>
        <v>0</v>
      </c>
      <c r="BG45" s="27">
        <f t="shared" si="45"/>
        <v>0</v>
      </c>
      <c r="BH45" s="27">
        <f t="shared" si="45"/>
        <v>0</v>
      </c>
      <c r="BI45" s="27">
        <f t="shared" si="45"/>
        <v>0</v>
      </c>
      <c r="BJ45" s="27">
        <f t="shared" si="52"/>
        <v>0</v>
      </c>
      <c r="BK45" s="27">
        <f t="shared" si="45"/>
        <v>0</v>
      </c>
      <c r="BL45" s="27">
        <f t="shared" si="45"/>
        <v>0</v>
      </c>
      <c r="BM45" s="27">
        <f t="shared" si="45"/>
        <v>0</v>
      </c>
      <c r="BN45" s="27">
        <f>+U45-AR45</f>
        <v>0</v>
      </c>
      <c r="BO45" s="27">
        <f t="shared" si="45"/>
        <v>766660</v>
      </c>
      <c r="BP45" s="27">
        <f t="shared" si="45"/>
        <v>0</v>
      </c>
      <c r="BQ45" s="27"/>
      <c r="BR45" s="27"/>
      <c r="BS45" s="27">
        <f t="shared" si="46"/>
        <v>0</v>
      </c>
      <c r="BT45" s="27">
        <f t="shared" si="47"/>
        <v>0</v>
      </c>
      <c r="BU45" s="29">
        <f t="shared" si="10"/>
        <v>0.92333399999999999</v>
      </c>
      <c r="BV45" s="27">
        <f t="shared" si="36"/>
        <v>9233340</v>
      </c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>
        <f>+'[3]MAYO 2016'!$H$1115</f>
        <v>9233340</v>
      </c>
      <c r="CL45" s="27"/>
      <c r="CM45" s="27"/>
      <c r="CN45" s="27"/>
      <c r="CO45" s="27"/>
      <c r="CP45" s="27"/>
      <c r="CQ45" s="29">
        <f t="shared" si="12"/>
        <v>7.6666000000000012E-2</v>
      </c>
      <c r="CR45" s="27">
        <f t="shared" si="37"/>
        <v>766660</v>
      </c>
      <c r="CS45" s="27">
        <f t="shared" si="38"/>
        <v>0</v>
      </c>
      <c r="CT45" s="27">
        <f t="shared" si="38"/>
        <v>0</v>
      </c>
      <c r="CU45" s="27">
        <f t="shared" si="38"/>
        <v>0</v>
      </c>
      <c r="CV45" s="27">
        <f t="shared" si="38"/>
        <v>0</v>
      </c>
      <c r="CW45" s="27">
        <f t="shared" si="38"/>
        <v>0</v>
      </c>
      <c r="CX45" s="27">
        <f t="shared" si="38"/>
        <v>0</v>
      </c>
      <c r="CY45" s="27">
        <f t="shared" si="38"/>
        <v>0</v>
      </c>
      <c r="CZ45" s="27">
        <f t="shared" si="48"/>
        <v>0</v>
      </c>
      <c r="DA45" s="27">
        <f t="shared" si="48"/>
        <v>0</v>
      </c>
      <c r="DB45" s="27">
        <f t="shared" si="48"/>
        <v>0</v>
      </c>
      <c r="DC45" s="27">
        <f t="shared" si="40"/>
        <v>0</v>
      </c>
      <c r="DD45" s="27">
        <f t="shared" si="40"/>
        <v>0</v>
      </c>
      <c r="DE45" s="27">
        <f t="shared" si="40"/>
        <v>0</v>
      </c>
      <c r="DF45" s="27">
        <f t="shared" si="49"/>
        <v>0</v>
      </c>
      <c r="DG45" s="27">
        <f t="shared" si="49"/>
        <v>766660</v>
      </c>
      <c r="DH45" s="27">
        <f t="shared" si="49"/>
        <v>0</v>
      </c>
      <c r="DI45" s="27"/>
      <c r="DJ45" s="27">
        <f t="shared" si="50"/>
        <v>0</v>
      </c>
      <c r="DK45" s="27">
        <f t="shared" si="43"/>
        <v>0</v>
      </c>
      <c r="DL45" s="27">
        <f t="shared" si="51"/>
        <v>0</v>
      </c>
      <c r="DN45" s="193"/>
      <c r="DO45" s="193"/>
      <c r="DP45" s="193"/>
      <c r="DQ45" s="193"/>
      <c r="DR45" s="193"/>
    </row>
    <row r="46" spans="1:122" ht="21.75" hidden="1" customHeight="1" x14ac:dyDescent="0.25">
      <c r="A46" s="236"/>
      <c r="B46" s="230"/>
      <c r="C46" s="23" t="s">
        <v>148</v>
      </c>
      <c r="D46" s="24" t="s">
        <v>149</v>
      </c>
      <c r="E46" s="25">
        <v>410</v>
      </c>
      <c r="F46" s="26" t="s">
        <v>89</v>
      </c>
      <c r="G46" s="27">
        <f t="shared" si="29"/>
        <v>20000000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>
        <v>20000000</v>
      </c>
      <c r="W46" s="27"/>
      <c r="X46" s="27"/>
      <c r="Y46" s="27"/>
      <c r="Z46" s="61"/>
      <c r="AA46" s="61"/>
      <c r="AC46" s="29">
        <f t="shared" si="1"/>
        <v>0</v>
      </c>
      <c r="AD46" s="27">
        <f t="shared" si="30"/>
        <v>0</v>
      </c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9">
        <f t="shared" si="3"/>
        <v>1</v>
      </c>
      <c r="AZ46" s="27">
        <f t="shared" si="31"/>
        <v>20000000</v>
      </c>
      <c r="BA46" s="27">
        <f t="shared" si="32"/>
        <v>0</v>
      </c>
      <c r="BB46" s="27">
        <f t="shared" si="33"/>
        <v>0</v>
      </c>
      <c r="BC46" s="27">
        <f t="shared" si="33"/>
        <v>0</v>
      </c>
      <c r="BD46" s="27">
        <f t="shared" si="33"/>
        <v>0</v>
      </c>
      <c r="BE46" s="27">
        <f t="shared" si="45"/>
        <v>0</v>
      </c>
      <c r="BF46" s="27">
        <f t="shared" si="45"/>
        <v>0</v>
      </c>
      <c r="BG46" s="27">
        <f t="shared" si="45"/>
        <v>0</v>
      </c>
      <c r="BH46" s="27">
        <f t="shared" si="45"/>
        <v>0</v>
      </c>
      <c r="BI46" s="27">
        <f t="shared" si="45"/>
        <v>0</v>
      </c>
      <c r="BJ46" s="27">
        <f t="shared" si="52"/>
        <v>0</v>
      </c>
      <c r="BK46" s="27">
        <f t="shared" si="45"/>
        <v>0</v>
      </c>
      <c r="BL46" s="27">
        <f t="shared" si="45"/>
        <v>0</v>
      </c>
      <c r="BM46" s="27">
        <f t="shared" si="45"/>
        <v>0</v>
      </c>
      <c r="BN46" s="27"/>
      <c r="BO46" s="27">
        <f t="shared" si="45"/>
        <v>20000000</v>
      </c>
      <c r="BP46" s="27">
        <f t="shared" si="45"/>
        <v>0</v>
      </c>
      <c r="BQ46" s="27"/>
      <c r="BR46" s="27"/>
      <c r="BS46" s="27">
        <f t="shared" si="46"/>
        <v>0</v>
      </c>
      <c r="BT46" s="27">
        <f t="shared" si="47"/>
        <v>0</v>
      </c>
      <c r="BU46" s="29">
        <f t="shared" si="10"/>
        <v>0</v>
      </c>
      <c r="BV46" s="27">
        <f t="shared" si="36"/>
        <v>0</v>
      </c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9">
        <f t="shared" si="12"/>
        <v>1</v>
      </c>
      <c r="CR46" s="27">
        <f t="shared" si="37"/>
        <v>20000000</v>
      </c>
      <c r="CS46" s="27">
        <f t="shared" si="38"/>
        <v>0</v>
      </c>
      <c r="CT46" s="27">
        <f t="shared" si="38"/>
        <v>0</v>
      </c>
      <c r="CU46" s="27">
        <f t="shared" si="38"/>
        <v>0</v>
      </c>
      <c r="CV46" s="27">
        <f t="shared" si="38"/>
        <v>0</v>
      </c>
      <c r="CW46" s="27">
        <f t="shared" si="38"/>
        <v>0</v>
      </c>
      <c r="CX46" s="27">
        <f t="shared" si="38"/>
        <v>0</v>
      </c>
      <c r="CY46" s="27">
        <f t="shared" si="38"/>
        <v>0</v>
      </c>
      <c r="CZ46" s="27">
        <f t="shared" si="48"/>
        <v>0</v>
      </c>
      <c r="DA46" s="27">
        <f t="shared" si="48"/>
        <v>0</v>
      </c>
      <c r="DB46" s="27">
        <f t="shared" si="48"/>
        <v>0</v>
      </c>
      <c r="DC46" s="27">
        <f t="shared" si="48"/>
        <v>0</v>
      </c>
      <c r="DD46" s="27">
        <f t="shared" si="48"/>
        <v>0</v>
      </c>
      <c r="DE46" s="27">
        <f t="shared" si="48"/>
        <v>0</v>
      </c>
      <c r="DF46" s="27">
        <f t="shared" si="49"/>
        <v>0</v>
      </c>
      <c r="DG46" s="27">
        <f t="shared" si="49"/>
        <v>20000000</v>
      </c>
      <c r="DH46" s="27">
        <f t="shared" si="49"/>
        <v>0</v>
      </c>
      <c r="DI46" s="27"/>
      <c r="DJ46" s="27">
        <f t="shared" si="50"/>
        <v>0</v>
      </c>
      <c r="DK46" s="27">
        <f t="shared" ref="DK46:DK57" si="53">Z46-CO46</f>
        <v>0</v>
      </c>
      <c r="DL46" s="27">
        <f t="shared" si="51"/>
        <v>0</v>
      </c>
      <c r="DN46" s="193"/>
      <c r="DO46" s="193"/>
      <c r="DP46" s="193"/>
      <c r="DQ46" s="193"/>
      <c r="DR46" s="193"/>
    </row>
    <row r="47" spans="1:122" ht="33" hidden="1" customHeight="1" x14ac:dyDescent="0.25">
      <c r="A47" s="236"/>
      <c r="B47" s="231"/>
      <c r="C47" s="23" t="s">
        <v>150</v>
      </c>
      <c r="D47" s="24" t="s">
        <v>151</v>
      </c>
      <c r="E47" s="25">
        <v>410</v>
      </c>
      <c r="F47" s="26" t="s">
        <v>89</v>
      </c>
      <c r="G47" s="27">
        <f t="shared" si="29"/>
        <v>13200000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>
        <v>10000000</v>
      </c>
      <c r="W47" s="27"/>
      <c r="X47" s="27"/>
      <c r="Y47" s="27"/>
      <c r="Z47" s="61"/>
      <c r="AA47" s="61">
        <f>3200000</f>
        <v>3200000</v>
      </c>
      <c r="AC47" s="29">
        <f t="shared" si="1"/>
        <v>0.24087121212121212</v>
      </c>
      <c r="AD47" s="27">
        <f t="shared" si="30"/>
        <v>3179500</v>
      </c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>
        <f>+'[4]ABRIL 2016'!$Y$961</f>
        <v>3179500</v>
      </c>
      <c r="AT47" s="27"/>
      <c r="AU47" s="27"/>
      <c r="AV47" s="27"/>
      <c r="AW47" s="27"/>
      <c r="AX47" s="27"/>
      <c r="AY47" s="29">
        <f t="shared" si="3"/>
        <v>0.7591287878787879</v>
      </c>
      <c r="AZ47" s="27">
        <f t="shared" si="31"/>
        <v>10020500</v>
      </c>
      <c r="BA47" s="27">
        <f t="shared" si="32"/>
        <v>0</v>
      </c>
      <c r="BB47" s="27">
        <f t="shared" si="33"/>
        <v>0</v>
      </c>
      <c r="BC47" s="27">
        <f t="shared" si="33"/>
        <v>0</v>
      </c>
      <c r="BD47" s="27">
        <f t="shared" si="33"/>
        <v>0</v>
      </c>
      <c r="BE47" s="27">
        <f t="shared" si="45"/>
        <v>0</v>
      </c>
      <c r="BF47" s="27">
        <f t="shared" si="45"/>
        <v>0</v>
      </c>
      <c r="BG47" s="27">
        <f t="shared" si="45"/>
        <v>0</v>
      </c>
      <c r="BH47" s="27">
        <f t="shared" si="45"/>
        <v>0</v>
      </c>
      <c r="BI47" s="27">
        <f t="shared" si="45"/>
        <v>0</v>
      </c>
      <c r="BJ47" s="27">
        <f t="shared" si="52"/>
        <v>0</v>
      </c>
      <c r="BK47" s="27">
        <f t="shared" si="45"/>
        <v>0</v>
      </c>
      <c r="BL47" s="27">
        <f t="shared" si="45"/>
        <v>0</v>
      </c>
      <c r="BM47" s="27">
        <f t="shared" si="45"/>
        <v>0</v>
      </c>
      <c r="BN47" s="27"/>
      <c r="BO47" s="27">
        <f t="shared" si="45"/>
        <v>6820500</v>
      </c>
      <c r="BP47" s="27">
        <f t="shared" si="45"/>
        <v>0</v>
      </c>
      <c r="BQ47" s="27"/>
      <c r="BR47" s="27"/>
      <c r="BS47" s="27">
        <f t="shared" si="46"/>
        <v>0</v>
      </c>
      <c r="BT47" s="27">
        <f t="shared" si="47"/>
        <v>3200000</v>
      </c>
      <c r="BU47" s="29">
        <f t="shared" si="10"/>
        <v>0.24087121212121212</v>
      </c>
      <c r="BV47" s="27">
        <f t="shared" si="36"/>
        <v>3179500</v>
      </c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>
        <f>+'[4]ABRIL 2016'!$H$959</f>
        <v>3179500</v>
      </c>
      <c r="CL47" s="27"/>
      <c r="CM47" s="27"/>
      <c r="CN47" s="27"/>
      <c r="CO47" s="27"/>
      <c r="CP47" s="27"/>
      <c r="CQ47" s="29">
        <f t="shared" si="12"/>
        <v>0.7591287878787879</v>
      </c>
      <c r="CR47" s="27">
        <f t="shared" si="37"/>
        <v>10020500</v>
      </c>
      <c r="CS47" s="27">
        <f t="shared" si="38"/>
        <v>0</v>
      </c>
      <c r="CT47" s="27">
        <f t="shared" si="38"/>
        <v>0</v>
      </c>
      <c r="CU47" s="27">
        <f t="shared" si="38"/>
        <v>0</v>
      </c>
      <c r="CV47" s="27">
        <f t="shared" si="38"/>
        <v>0</v>
      </c>
      <c r="CW47" s="27">
        <f t="shared" si="38"/>
        <v>0</v>
      </c>
      <c r="CX47" s="27">
        <f t="shared" si="38"/>
        <v>0</v>
      </c>
      <c r="CY47" s="27">
        <f t="shared" si="38"/>
        <v>0</v>
      </c>
      <c r="CZ47" s="27">
        <f t="shared" si="48"/>
        <v>0</v>
      </c>
      <c r="DA47" s="27">
        <f t="shared" si="48"/>
        <v>0</v>
      </c>
      <c r="DB47" s="27">
        <f t="shared" si="48"/>
        <v>0</v>
      </c>
      <c r="DC47" s="27">
        <f t="shared" si="48"/>
        <v>0</v>
      </c>
      <c r="DD47" s="27">
        <f t="shared" si="48"/>
        <v>0</v>
      </c>
      <c r="DE47" s="27">
        <f t="shared" si="48"/>
        <v>0</v>
      </c>
      <c r="DF47" s="27">
        <f t="shared" si="49"/>
        <v>0</v>
      </c>
      <c r="DG47" s="27">
        <f t="shared" si="49"/>
        <v>6820500</v>
      </c>
      <c r="DH47" s="27">
        <f t="shared" si="49"/>
        <v>0</v>
      </c>
      <c r="DI47" s="27"/>
      <c r="DJ47" s="27">
        <f t="shared" si="50"/>
        <v>0</v>
      </c>
      <c r="DK47" s="27">
        <f t="shared" si="53"/>
        <v>0</v>
      </c>
      <c r="DL47" s="27">
        <f t="shared" si="51"/>
        <v>3200000</v>
      </c>
      <c r="DN47" s="193"/>
      <c r="DO47" s="193"/>
      <c r="DP47" s="193"/>
      <c r="DQ47" s="193"/>
      <c r="DR47" s="193"/>
    </row>
    <row r="48" spans="1:122" ht="24" hidden="1" customHeight="1" x14ac:dyDescent="0.25">
      <c r="A48" s="236" t="s">
        <v>85</v>
      </c>
      <c r="B48" s="229" t="s">
        <v>152</v>
      </c>
      <c r="C48" s="23" t="s">
        <v>153</v>
      </c>
      <c r="D48" s="24" t="s">
        <v>154</v>
      </c>
      <c r="E48" s="25">
        <v>410</v>
      </c>
      <c r="F48" s="26" t="s">
        <v>89</v>
      </c>
      <c r="G48" s="27">
        <f t="shared" si="29"/>
        <v>374741836</v>
      </c>
      <c r="H48" s="27"/>
      <c r="I48" s="27"/>
      <c r="J48" s="27">
        <v>270000000</v>
      </c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61">
        <v>104741836</v>
      </c>
      <c r="AA48" s="61"/>
      <c r="AC48" s="29">
        <f t="shared" si="1"/>
        <v>0.75724210840446438</v>
      </c>
      <c r="AD48" s="27">
        <f t="shared" si="30"/>
        <v>283770298</v>
      </c>
      <c r="AE48" s="27"/>
      <c r="AF48" s="27"/>
      <c r="AG48" s="27">
        <f>+'[5]ENERO 2016'!$M$432</f>
        <v>270000000</v>
      </c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>
        <f>+'[3]MAYO 2016'!$AF$1137</f>
        <v>13770298</v>
      </c>
      <c r="AX48" s="27"/>
      <c r="AY48" s="29">
        <f t="shared" si="3"/>
        <v>0.24275789159553562</v>
      </c>
      <c r="AZ48" s="27">
        <f t="shared" si="31"/>
        <v>90971538</v>
      </c>
      <c r="BA48" s="27">
        <f t="shared" si="32"/>
        <v>0</v>
      </c>
      <c r="BB48" s="27">
        <f t="shared" si="33"/>
        <v>0</v>
      </c>
      <c r="BC48" s="27">
        <f t="shared" si="33"/>
        <v>0</v>
      </c>
      <c r="BD48" s="27">
        <f t="shared" si="33"/>
        <v>0</v>
      </c>
      <c r="BE48" s="27">
        <f t="shared" si="45"/>
        <v>0</v>
      </c>
      <c r="BF48" s="27">
        <f t="shared" si="45"/>
        <v>0</v>
      </c>
      <c r="BG48" s="27">
        <f t="shared" si="45"/>
        <v>0</v>
      </c>
      <c r="BH48" s="27">
        <f t="shared" si="45"/>
        <v>0</v>
      </c>
      <c r="BI48" s="27">
        <f t="shared" si="45"/>
        <v>0</v>
      </c>
      <c r="BJ48" s="27">
        <f t="shared" si="52"/>
        <v>0</v>
      </c>
      <c r="BK48" s="27">
        <f t="shared" si="45"/>
        <v>0</v>
      </c>
      <c r="BL48" s="27">
        <f t="shared" si="45"/>
        <v>0</v>
      </c>
      <c r="BM48" s="27">
        <f t="shared" si="45"/>
        <v>0</v>
      </c>
      <c r="BN48" s="27">
        <f>+U48-AR48</f>
        <v>0</v>
      </c>
      <c r="BO48" s="27">
        <f t="shared" si="45"/>
        <v>0</v>
      </c>
      <c r="BP48" s="27">
        <f t="shared" si="45"/>
        <v>0</v>
      </c>
      <c r="BQ48" s="27"/>
      <c r="BR48" s="27"/>
      <c r="BS48" s="27">
        <f t="shared" si="46"/>
        <v>90971538</v>
      </c>
      <c r="BT48" s="27">
        <f t="shared" si="47"/>
        <v>0</v>
      </c>
      <c r="BU48" s="29">
        <f t="shared" si="10"/>
        <v>0.75724210840446438</v>
      </c>
      <c r="BV48" s="27">
        <f t="shared" si="36"/>
        <v>283770298</v>
      </c>
      <c r="BW48" s="27"/>
      <c r="BX48" s="27"/>
      <c r="BY48" s="27">
        <f>+'[5]ENERO 2016'!$H$430</f>
        <v>270000000</v>
      </c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>
        <f>+'[4]ABRIL 2016'!$H$975+'[3]MAYO 2016'!$AF$1142</f>
        <v>13770298</v>
      </c>
      <c r="CP48" s="27"/>
      <c r="CQ48" s="29">
        <f t="shared" si="12"/>
        <v>0.24275789159553562</v>
      </c>
      <c r="CR48" s="27">
        <f t="shared" si="37"/>
        <v>90971538</v>
      </c>
      <c r="CS48" s="27">
        <f t="shared" si="38"/>
        <v>0</v>
      </c>
      <c r="CT48" s="27">
        <f t="shared" si="38"/>
        <v>0</v>
      </c>
      <c r="CU48" s="27">
        <f t="shared" si="38"/>
        <v>0</v>
      </c>
      <c r="CV48" s="27">
        <f t="shared" si="38"/>
        <v>0</v>
      </c>
      <c r="CW48" s="27">
        <f t="shared" si="38"/>
        <v>0</v>
      </c>
      <c r="CX48" s="27">
        <f t="shared" si="38"/>
        <v>0</v>
      </c>
      <c r="CY48" s="27">
        <f t="shared" si="38"/>
        <v>0</v>
      </c>
      <c r="CZ48" s="27">
        <f t="shared" si="48"/>
        <v>0</v>
      </c>
      <c r="DA48" s="27">
        <f t="shared" si="48"/>
        <v>0</v>
      </c>
      <c r="DB48" s="27">
        <f t="shared" si="48"/>
        <v>0</v>
      </c>
      <c r="DC48" s="27">
        <f t="shared" ref="DC48:DE57" si="54">R48-CG48</f>
        <v>0</v>
      </c>
      <c r="DD48" s="27">
        <f t="shared" si="54"/>
        <v>0</v>
      </c>
      <c r="DE48" s="27">
        <f t="shared" si="54"/>
        <v>0</v>
      </c>
      <c r="DF48" s="27">
        <f t="shared" si="49"/>
        <v>0</v>
      </c>
      <c r="DG48" s="27">
        <f t="shared" si="49"/>
        <v>0</v>
      </c>
      <c r="DH48" s="27">
        <f t="shared" si="49"/>
        <v>0</v>
      </c>
      <c r="DI48" s="27"/>
      <c r="DJ48" s="27">
        <f t="shared" si="50"/>
        <v>0</v>
      </c>
      <c r="DK48" s="27">
        <f t="shared" si="53"/>
        <v>90971538</v>
      </c>
      <c r="DL48" s="27">
        <f t="shared" si="51"/>
        <v>0</v>
      </c>
      <c r="DN48" s="193"/>
      <c r="DO48" s="193"/>
      <c r="DP48" s="193"/>
      <c r="DQ48" s="193"/>
      <c r="DR48" s="193"/>
    </row>
    <row r="49" spans="1:123" s="64" customFormat="1" ht="23.25" hidden="1" customHeight="1" x14ac:dyDescent="0.25">
      <c r="A49" s="236"/>
      <c r="B49" s="231"/>
      <c r="C49" s="62" t="s">
        <v>155</v>
      </c>
      <c r="D49" s="24" t="s">
        <v>156</v>
      </c>
      <c r="E49" s="25">
        <v>410</v>
      </c>
      <c r="F49" s="26" t="s">
        <v>89</v>
      </c>
      <c r="G49" s="27">
        <f t="shared" si="29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7">
        <f t="shared" si="30"/>
        <v>12528000</v>
      </c>
      <c r="AE49" s="61"/>
      <c r="AF49" s="61"/>
      <c r="AG49" s="61">
        <f>+'[4]ABRIL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3"/>
        <v>0.58240000000000003</v>
      </c>
      <c r="AZ49" s="27">
        <f t="shared" si="31"/>
        <v>17472000</v>
      </c>
      <c r="BA49" s="27">
        <f t="shared" si="32"/>
        <v>0</v>
      </c>
      <c r="BB49" s="27">
        <f t="shared" si="33"/>
        <v>0</v>
      </c>
      <c r="BC49" s="27">
        <f t="shared" si="33"/>
        <v>17472000</v>
      </c>
      <c r="BD49" s="27">
        <f t="shared" si="33"/>
        <v>0</v>
      </c>
      <c r="BE49" s="27">
        <f t="shared" si="45"/>
        <v>0</v>
      </c>
      <c r="BF49" s="27">
        <f t="shared" si="45"/>
        <v>0</v>
      </c>
      <c r="BG49" s="27">
        <f t="shared" si="45"/>
        <v>0</v>
      </c>
      <c r="BH49" s="27">
        <f t="shared" si="45"/>
        <v>0</v>
      </c>
      <c r="BI49" s="27">
        <f t="shared" si="45"/>
        <v>0</v>
      </c>
      <c r="BJ49" s="27">
        <f t="shared" si="52"/>
        <v>0</v>
      </c>
      <c r="BK49" s="27">
        <f t="shared" si="45"/>
        <v>0</v>
      </c>
      <c r="BL49" s="27">
        <f t="shared" si="45"/>
        <v>0</v>
      </c>
      <c r="BM49" s="27">
        <f t="shared" si="45"/>
        <v>0</v>
      </c>
      <c r="BN49" s="61"/>
      <c r="BO49" s="27">
        <f t="shared" si="45"/>
        <v>0</v>
      </c>
      <c r="BP49" s="27">
        <f t="shared" si="45"/>
        <v>0</v>
      </c>
      <c r="BQ49" s="27"/>
      <c r="BR49" s="61"/>
      <c r="BS49" s="27">
        <f t="shared" si="46"/>
        <v>0</v>
      </c>
      <c r="BT49" s="61">
        <f t="shared" si="47"/>
        <v>0</v>
      </c>
      <c r="BU49" s="65">
        <f t="shared" si="10"/>
        <v>0.41760000000000003</v>
      </c>
      <c r="BV49" s="27">
        <f t="shared" si="36"/>
        <v>12528000</v>
      </c>
      <c r="BW49" s="61"/>
      <c r="BX49" s="61"/>
      <c r="BY49" s="61">
        <f>+'[4]ABRIL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2"/>
        <v>0.58240000000000003</v>
      </c>
      <c r="CR49" s="27">
        <f t="shared" si="37"/>
        <v>17472000</v>
      </c>
      <c r="CS49" s="27">
        <f t="shared" si="38"/>
        <v>0</v>
      </c>
      <c r="CT49" s="27">
        <f t="shared" si="38"/>
        <v>0</v>
      </c>
      <c r="CU49" s="27">
        <f t="shared" si="38"/>
        <v>17472000</v>
      </c>
      <c r="CV49" s="27">
        <f t="shared" si="38"/>
        <v>0</v>
      </c>
      <c r="CW49" s="27">
        <f t="shared" si="38"/>
        <v>0</v>
      </c>
      <c r="CX49" s="27">
        <f t="shared" si="38"/>
        <v>0</v>
      </c>
      <c r="CY49" s="27">
        <f t="shared" si="38"/>
        <v>0</v>
      </c>
      <c r="CZ49" s="27">
        <f>O49-CD49</f>
        <v>0</v>
      </c>
      <c r="DA49" s="27">
        <f>P49-CE49</f>
        <v>0</v>
      </c>
      <c r="DB49" s="27">
        <f>Q49-CF49</f>
        <v>0</v>
      </c>
      <c r="DC49" s="27">
        <f t="shared" si="54"/>
        <v>0</v>
      </c>
      <c r="DD49" s="27">
        <f t="shared" si="54"/>
        <v>0</v>
      </c>
      <c r="DE49" s="27">
        <f t="shared" si="54"/>
        <v>0</v>
      </c>
      <c r="DF49" s="27">
        <f>U49-CJ49</f>
        <v>0</v>
      </c>
      <c r="DG49" s="27">
        <f>V49-CK49</f>
        <v>0</v>
      </c>
      <c r="DH49" s="27">
        <f>W49-CL49</f>
        <v>0</v>
      </c>
      <c r="DI49" s="27"/>
      <c r="DJ49" s="27">
        <f>Y49-CN49</f>
        <v>0</v>
      </c>
      <c r="DK49" s="27">
        <f t="shared" si="53"/>
        <v>0</v>
      </c>
      <c r="DL49" s="27">
        <f>AA49-CP49</f>
        <v>0</v>
      </c>
      <c r="DN49" s="193"/>
      <c r="DO49" s="193"/>
      <c r="DP49" s="193"/>
      <c r="DQ49" s="193"/>
      <c r="DR49" s="193"/>
      <c r="DS49" s="189"/>
    </row>
    <row r="50" spans="1:123" ht="33.75" hidden="1" customHeight="1" x14ac:dyDescent="0.25">
      <c r="A50" s="236"/>
      <c r="B50" s="229" t="s">
        <v>157</v>
      </c>
      <c r="C50" s="23" t="s">
        <v>158</v>
      </c>
      <c r="D50" s="24" t="s">
        <v>159</v>
      </c>
      <c r="E50" s="25">
        <v>410</v>
      </c>
      <c r="F50" s="26" t="s">
        <v>89</v>
      </c>
      <c r="G50" s="27">
        <f t="shared" si="29"/>
        <v>90000000</v>
      </c>
      <c r="H50" s="52"/>
      <c r="I50" s="52"/>
      <c r="J50" s="27">
        <f>21264791</f>
        <v>21264791</v>
      </c>
      <c r="K50" s="27"/>
      <c r="L50" s="52"/>
      <c r="M50" s="39"/>
      <c r="N50" s="39"/>
      <c r="O50" s="39"/>
      <c r="P50" s="27"/>
      <c r="Q50" s="27"/>
      <c r="R50" s="27"/>
      <c r="S50" s="27"/>
      <c r="T50" s="27"/>
      <c r="U50" s="27"/>
      <c r="V50" s="27">
        <f>90000000-21264791</f>
        <v>68735209</v>
      </c>
      <c r="W50" s="27"/>
      <c r="X50" s="27"/>
      <c r="Y50" s="27"/>
      <c r="Z50" s="27"/>
      <c r="AA50" s="27"/>
      <c r="AC50" s="29">
        <f t="shared" si="1"/>
        <v>0.55555555555555558</v>
      </c>
      <c r="AD50" s="27">
        <f t="shared" si="30"/>
        <v>50000000</v>
      </c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>
        <f>+'[5]ENERO 2016'!$Y$447</f>
        <v>50000000</v>
      </c>
      <c r="AT50" s="27"/>
      <c r="AU50" s="27"/>
      <c r="AV50" s="27"/>
      <c r="AW50" s="27"/>
      <c r="AX50" s="27"/>
      <c r="AY50" s="29">
        <f t="shared" si="3"/>
        <v>0.44444444444444442</v>
      </c>
      <c r="AZ50" s="27">
        <f t="shared" si="31"/>
        <v>40000000</v>
      </c>
      <c r="BA50" s="27">
        <f t="shared" si="32"/>
        <v>0</v>
      </c>
      <c r="BB50" s="27">
        <f t="shared" si="33"/>
        <v>0</v>
      </c>
      <c r="BC50" s="27">
        <f t="shared" si="33"/>
        <v>21264791</v>
      </c>
      <c r="BD50" s="27">
        <f t="shared" si="33"/>
        <v>0</v>
      </c>
      <c r="BE50" s="27">
        <f t="shared" si="45"/>
        <v>0</v>
      </c>
      <c r="BF50" s="27">
        <f t="shared" si="45"/>
        <v>0</v>
      </c>
      <c r="BG50" s="27">
        <f t="shared" si="45"/>
        <v>0</v>
      </c>
      <c r="BH50" s="27">
        <f t="shared" si="45"/>
        <v>0</v>
      </c>
      <c r="BI50" s="27">
        <f t="shared" si="45"/>
        <v>0</v>
      </c>
      <c r="BJ50" s="27">
        <f t="shared" si="52"/>
        <v>0</v>
      </c>
      <c r="BK50" s="27">
        <f t="shared" si="45"/>
        <v>0</v>
      </c>
      <c r="BL50" s="27">
        <f t="shared" si="45"/>
        <v>0</v>
      </c>
      <c r="BM50" s="27">
        <f t="shared" si="45"/>
        <v>0</v>
      </c>
      <c r="BN50" s="27">
        <f>+U50-AR50</f>
        <v>0</v>
      </c>
      <c r="BO50" s="27">
        <f t="shared" si="45"/>
        <v>18735209</v>
      </c>
      <c r="BP50" s="27">
        <f t="shared" si="45"/>
        <v>0</v>
      </c>
      <c r="BQ50" s="27"/>
      <c r="BR50" s="27"/>
      <c r="BS50" s="27">
        <f t="shared" si="46"/>
        <v>0</v>
      </c>
      <c r="BT50" s="27">
        <f t="shared" si="47"/>
        <v>0</v>
      </c>
      <c r="BU50" s="29">
        <f t="shared" si="10"/>
        <v>0.51545852222222222</v>
      </c>
      <c r="BV50" s="27">
        <f t="shared" si="36"/>
        <v>46391267</v>
      </c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>
        <f>+'[2]MARZO 2016 ULTIMO'!$H$777</f>
        <v>46391267</v>
      </c>
      <c r="CL50" s="27"/>
      <c r="CM50" s="27"/>
      <c r="CN50" s="27"/>
      <c r="CO50" s="27"/>
      <c r="CP50" s="27"/>
      <c r="CQ50" s="29">
        <f t="shared" si="12"/>
        <v>0.48454147777777778</v>
      </c>
      <c r="CR50" s="27">
        <f t="shared" si="37"/>
        <v>43608733</v>
      </c>
      <c r="CS50" s="27">
        <f t="shared" si="38"/>
        <v>0</v>
      </c>
      <c r="CT50" s="27">
        <f t="shared" si="38"/>
        <v>0</v>
      </c>
      <c r="CU50" s="27">
        <f t="shared" si="38"/>
        <v>21264791</v>
      </c>
      <c r="CV50" s="27">
        <f t="shared" si="38"/>
        <v>0</v>
      </c>
      <c r="CW50" s="27">
        <f t="shared" si="38"/>
        <v>0</v>
      </c>
      <c r="CX50" s="27">
        <f t="shared" si="38"/>
        <v>0</v>
      </c>
      <c r="CY50" s="27">
        <f t="shared" si="38"/>
        <v>0</v>
      </c>
      <c r="CZ50" s="27">
        <f>+O50-CD50</f>
        <v>0</v>
      </c>
      <c r="DA50" s="27">
        <f>+P50-CE50</f>
        <v>0</v>
      </c>
      <c r="DB50" s="27">
        <f>+Q50-CF50</f>
        <v>0</v>
      </c>
      <c r="DC50" s="27">
        <f t="shared" si="54"/>
        <v>0</v>
      </c>
      <c r="DD50" s="27">
        <f t="shared" si="54"/>
        <v>0</v>
      </c>
      <c r="DE50" s="27">
        <f t="shared" si="54"/>
        <v>0</v>
      </c>
      <c r="DF50" s="27">
        <f>+U50-CJ50</f>
        <v>0</v>
      </c>
      <c r="DG50" s="27">
        <f>+V50-CK50</f>
        <v>22343942</v>
      </c>
      <c r="DH50" s="27">
        <f>+W50-CL50</f>
        <v>0</v>
      </c>
      <c r="DI50" s="27"/>
      <c r="DJ50" s="27">
        <f>+Y50-CN50</f>
        <v>0</v>
      </c>
      <c r="DK50" s="27">
        <f t="shared" si="53"/>
        <v>0</v>
      </c>
      <c r="DL50" s="27">
        <f>+AA50-CP50</f>
        <v>0</v>
      </c>
      <c r="DM50" s="50"/>
      <c r="DN50" s="193"/>
      <c r="DO50" s="193"/>
      <c r="DP50" s="193"/>
      <c r="DQ50" s="193"/>
      <c r="DR50" s="193"/>
    </row>
    <row r="51" spans="1:123" ht="21.75" hidden="1" customHeight="1" x14ac:dyDescent="0.25">
      <c r="A51" s="236"/>
      <c r="B51" s="231"/>
      <c r="C51" s="23" t="s">
        <v>160</v>
      </c>
      <c r="D51" s="24" t="s">
        <v>110</v>
      </c>
      <c r="E51" s="25">
        <v>410</v>
      </c>
      <c r="F51" s="26" t="s">
        <v>75</v>
      </c>
      <c r="G51" s="27">
        <f t="shared" si="29"/>
        <v>3000000</v>
      </c>
      <c r="H51" s="52"/>
      <c r="I51" s="52"/>
      <c r="J51" s="27"/>
      <c r="K51" s="27"/>
      <c r="L51" s="52"/>
      <c r="M51" s="39"/>
      <c r="N51" s="39"/>
      <c r="O51" s="39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>
        <v>3000000</v>
      </c>
      <c r="AC51" s="29">
        <f t="shared" si="1"/>
        <v>1</v>
      </c>
      <c r="AD51" s="27">
        <f t="shared" si="30"/>
        <v>3000000</v>
      </c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>
        <f>+'[1]JUNIO 2016'!$AG$1303</f>
        <v>3000000</v>
      </c>
      <c r="AY51" s="29">
        <f t="shared" si="3"/>
        <v>0</v>
      </c>
      <c r="AZ51" s="27">
        <f t="shared" si="31"/>
        <v>0</v>
      </c>
      <c r="BA51" s="27">
        <f t="shared" si="32"/>
        <v>0</v>
      </c>
      <c r="BB51" s="27">
        <f t="shared" si="33"/>
        <v>0</v>
      </c>
      <c r="BC51" s="27">
        <f t="shared" si="33"/>
        <v>0</v>
      </c>
      <c r="BD51" s="27">
        <f t="shared" si="33"/>
        <v>0</v>
      </c>
      <c r="BE51" s="27">
        <f t="shared" si="45"/>
        <v>0</v>
      </c>
      <c r="BF51" s="27">
        <f t="shared" si="45"/>
        <v>0</v>
      </c>
      <c r="BG51" s="27">
        <f t="shared" si="45"/>
        <v>0</v>
      </c>
      <c r="BH51" s="27">
        <f t="shared" si="45"/>
        <v>0</v>
      </c>
      <c r="BI51" s="27">
        <f t="shared" si="45"/>
        <v>0</v>
      </c>
      <c r="BJ51" s="27">
        <f t="shared" si="52"/>
        <v>0</v>
      </c>
      <c r="BK51" s="27">
        <f t="shared" si="45"/>
        <v>0</v>
      </c>
      <c r="BL51" s="27">
        <f t="shared" si="45"/>
        <v>0</v>
      </c>
      <c r="BM51" s="27">
        <f t="shared" si="45"/>
        <v>0</v>
      </c>
      <c r="BN51" s="27"/>
      <c r="BO51" s="27">
        <f t="shared" si="45"/>
        <v>0</v>
      </c>
      <c r="BP51" s="27">
        <f t="shared" si="45"/>
        <v>0</v>
      </c>
      <c r="BQ51" s="27"/>
      <c r="BR51" s="27"/>
      <c r="BS51" s="27">
        <f t="shared" si="46"/>
        <v>0</v>
      </c>
      <c r="BT51" s="27">
        <f t="shared" si="47"/>
        <v>0</v>
      </c>
      <c r="BU51" s="29">
        <f t="shared" si="10"/>
        <v>1</v>
      </c>
      <c r="BV51" s="27">
        <f t="shared" si="36"/>
        <v>3000000</v>
      </c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>
        <f>+'[1]JUNIO 2016'!$AG$1303</f>
        <v>3000000</v>
      </c>
      <c r="CQ51" s="29">
        <f t="shared" si="12"/>
        <v>0</v>
      </c>
      <c r="CR51" s="27">
        <f t="shared" si="37"/>
        <v>0</v>
      </c>
      <c r="CS51" s="27">
        <f t="shared" si="38"/>
        <v>0</v>
      </c>
      <c r="CT51" s="27">
        <f t="shared" si="38"/>
        <v>0</v>
      </c>
      <c r="CU51" s="27">
        <f t="shared" si="38"/>
        <v>0</v>
      </c>
      <c r="CV51" s="27">
        <f t="shared" si="38"/>
        <v>0</v>
      </c>
      <c r="CW51" s="27">
        <f t="shared" si="38"/>
        <v>0</v>
      </c>
      <c r="CX51" s="27">
        <f t="shared" si="38"/>
        <v>0</v>
      </c>
      <c r="CY51" s="27">
        <f t="shared" si="38"/>
        <v>0</v>
      </c>
      <c r="CZ51" s="27">
        <f>O51-CD51</f>
        <v>0</v>
      </c>
      <c r="DA51" s="27">
        <f>P51-CE51</f>
        <v>0</v>
      </c>
      <c r="DB51" s="27">
        <f>Q51-CF51</f>
        <v>0</v>
      </c>
      <c r="DC51" s="27">
        <f t="shared" si="54"/>
        <v>0</v>
      </c>
      <c r="DD51" s="27">
        <f t="shared" si="54"/>
        <v>0</v>
      </c>
      <c r="DE51" s="27">
        <f t="shared" si="54"/>
        <v>0</v>
      </c>
      <c r="DF51" s="27">
        <f>U51-CJ51</f>
        <v>0</v>
      </c>
      <c r="DG51" s="27">
        <f>V51-CK51</f>
        <v>0</v>
      </c>
      <c r="DH51" s="27">
        <f>W51-CL51</f>
        <v>0</v>
      </c>
      <c r="DI51" s="27"/>
      <c r="DJ51" s="27">
        <f>Y51-CN51</f>
        <v>0</v>
      </c>
      <c r="DK51" s="27">
        <f t="shared" si="53"/>
        <v>0</v>
      </c>
      <c r="DL51" s="27">
        <f>AA51-CP51</f>
        <v>0</v>
      </c>
      <c r="DM51" s="50"/>
      <c r="DN51" s="193"/>
      <c r="DO51" s="193"/>
      <c r="DP51" s="193"/>
      <c r="DQ51" s="193"/>
      <c r="DR51" s="193"/>
    </row>
    <row r="52" spans="1:123" ht="47.25" hidden="1" customHeight="1" x14ac:dyDescent="0.25">
      <c r="A52" s="236"/>
      <c r="B52" s="229" t="s">
        <v>161</v>
      </c>
      <c r="C52" s="23" t="s">
        <v>162</v>
      </c>
      <c r="D52" s="24" t="s">
        <v>163</v>
      </c>
      <c r="E52" s="25">
        <v>410</v>
      </c>
      <c r="F52" s="26" t="s">
        <v>164</v>
      </c>
      <c r="G52" s="27">
        <f t="shared" si="29"/>
        <v>42000000</v>
      </c>
      <c r="H52" s="27"/>
      <c r="I52" s="39"/>
      <c r="J52" s="27">
        <v>30000000</v>
      </c>
      <c r="K52" s="27"/>
      <c r="L52" s="39"/>
      <c r="M52" s="39"/>
      <c r="N52" s="39"/>
      <c r="O52" s="39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>
        <f>22000000+5000000-16000000+1000000</f>
        <v>12000000</v>
      </c>
      <c r="AC52" s="29">
        <f t="shared" si="1"/>
        <v>0.80952380952380953</v>
      </c>
      <c r="AD52" s="27">
        <f t="shared" si="30"/>
        <v>34000000</v>
      </c>
      <c r="AE52" s="27"/>
      <c r="AF52" s="27"/>
      <c r="AG52" s="27">
        <v>30000000</v>
      </c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>
        <v>4000000</v>
      </c>
      <c r="AY52" s="29">
        <f t="shared" si="3"/>
        <v>0.19047619047619047</v>
      </c>
      <c r="AZ52" s="27">
        <f t="shared" si="31"/>
        <v>8000000</v>
      </c>
      <c r="BA52" s="27">
        <f t="shared" si="32"/>
        <v>0</v>
      </c>
      <c r="BB52" s="27">
        <f t="shared" si="33"/>
        <v>0</v>
      </c>
      <c r="BC52" s="27">
        <f t="shared" si="33"/>
        <v>0</v>
      </c>
      <c r="BD52" s="27">
        <f t="shared" si="33"/>
        <v>0</v>
      </c>
      <c r="BE52" s="27">
        <f t="shared" si="45"/>
        <v>0</v>
      </c>
      <c r="BF52" s="27">
        <f t="shared" si="45"/>
        <v>0</v>
      </c>
      <c r="BG52" s="27">
        <f t="shared" si="45"/>
        <v>0</v>
      </c>
      <c r="BH52" s="27">
        <f t="shared" si="45"/>
        <v>0</v>
      </c>
      <c r="BI52" s="27">
        <f t="shared" si="45"/>
        <v>0</v>
      </c>
      <c r="BJ52" s="27">
        <f t="shared" si="52"/>
        <v>0</v>
      </c>
      <c r="BK52" s="27">
        <f t="shared" si="45"/>
        <v>0</v>
      </c>
      <c r="BL52" s="27">
        <f t="shared" si="45"/>
        <v>0</v>
      </c>
      <c r="BM52" s="27">
        <f t="shared" si="45"/>
        <v>0</v>
      </c>
      <c r="BN52" s="27">
        <f t="shared" si="45"/>
        <v>0</v>
      </c>
      <c r="BO52" s="27">
        <f t="shared" si="45"/>
        <v>0</v>
      </c>
      <c r="BP52" s="27">
        <f t="shared" si="45"/>
        <v>0</v>
      </c>
      <c r="BQ52" s="27"/>
      <c r="BR52" s="27"/>
      <c r="BS52" s="27">
        <f t="shared" si="46"/>
        <v>0</v>
      </c>
      <c r="BT52" s="27">
        <f t="shared" si="47"/>
        <v>8000000</v>
      </c>
      <c r="BU52" s="29">
        <f t="shared" si="10"/>
        <v>0.80952380952380953</v>
      </c>
      <c r="BV52" s="27">
        <f t="shared" si="36"/>
        <v>34000000</v>
      </c>
      <c r="BW52" s="27"/>
      <c r="BX52" s="27"/>
      <c r="BY52" s="27">
        <f>+'[1]JUNIO 2016'!$H$1317</f>
        <v>30000000</v>
      </c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>
        <v>4000000</v>
      </c>
      <c r="CQ52" s="29">
        <f t="shared" si="12"/>
        <v>0.19047619047619047</v>
      </c>
      <c r="CR52" s="27">
        <f t="shared" si="37"/>
        <v>8000000</v>
      </c>
      <c r="CS52" s="27">
        <f t="shared" si="38"/>
        <v>0</v>
      </c>
      <c r="CT52" s="27">
        <f t="shared" si="38"/>
        <v>0</v>
      </c>
      <c r="CU52" s="27">
        <f t="shared" si="38"/>
        <v>0</v>
      </c>
      <c r="CV52" s="27">
        <f t="shared" si="38"/>
        <v>0</v>
      </c>
      <c r="CW52" s="27">
        <f t="shared" si="38"/>
        <v>0</v>
      </c>
      <c r="CX52" s="27">
        <f t="shared" si="38"/>
        <v>0</v>
      </c>
      <c r="CY52" s="27">
        <f t="shared" si="38"/>
        <v>0</v>
      </c>
      <c r="CZ52" s="27">
        <f t="shared" ref="CZ52:DA57" si="55">+O52-CD52</f>
        <v>0</v>
      </c>
      <c r="DA52" s="27">
        <f t="shared" si="55"/>
        <v>0</v>
      </c>
      <c r="DB52" s="27">
        <f t="shared" ref="DB52:DB57" si="56">Q52-CF52</f>
        <v>0</v>
      </c>
      <c r="DC52" s="27">
        <f t="shared" si="54"/>
        <v>0</v>
      </c>
      <c r="DD52" s="27">
        <f t="shared" si="54"/>
        <v>0</v>
      </c>
      <c r="DE52" s="27">
        <f t="shared" si="54"/>
        <v>0</v>
      </c>
      <c r="DF52" s="27">
        <f t="shared" ref="DF52:DH57" si="57">+U52-CJ52</f>
        <v>0</v>
      </c>
      <c r="DG52" s="27">
        <f t="shared" si="57"/>
        <v>0</v>
      </c>
      <c r="DH52" s="27">
        <f t="shared" si="57"/>
        <v>0</v>
      </c>
      <c r="DI52" s="27"/>
      <c r="DJ52" s="27">
        <f t="shared" ref="DJ52:DJ57" si="58">+Y52-CN52</f>
        <v>0</v>
      </c>
      <c r="DK52" s="27">
        <f t="shared" si="53"/>
        <v>0</v>
      </c>
      <c r="DL52" s="27">
        <f t="shared" ref="DL52:DL57" si="59">+AA52-CP52</f>
        <v>8000000</v>
      </c>
      <c r="DN52" s="193"/>
      <c r="DO52" s="193"/>
      <c r="DP52" s="193"/>
      <c r="DQ52" s="193"/>
      <c r="DR52" s="193"/>
    </row>
    <row r="53" spans="1:123" ht="24.75" hidden="1" customHeight="1" x14ac:dyDescent="0.25">
      <c r="A53" s="236"/>
      <c r="B53" s="230"/>
      <c r="C53" s="23" t="s">
        <v>165</v>
      </c>
      <c r="D53" s="24" t="s">
        <v>365</v>
      </c>
      <c r="E53" s="25">
        <v>410</v>
      </c>
      <c r="F53" s="26" t="s">
        <v>89</v>
      </c>
      <c r="G53" s="27">
        <f t="shared" si="29"/>
        <v>10000000</v>
      </c>
      <c r="H53" s="27"/>
      <c r="I53" s="39"/>
      <c r="J53" s="27"/>
      <c r="K53" s="27"/>
      <c r="L53" s="39"/>
      <c r="M53" s="39"/>
      <c r="N53" s="39"/>
      <c r="O53" s="39"/>
      <c r="P53" s="27"/>
      <c r="Q53" s="27"/>
      <c r="R53" s="27"/>
      <c r="S53" s="27"/>
      <c r="T53" s="27"/>
      <c r="U53" s="27"/>
      <c r="V53" s="27">
        <v>10000000</v>
      </c>
      <c r="W53" s="27"/>
      <c r="X53" s="27"/>
      <c r="Y53" s="27"/>
      <c r="Z53" s="27"/>
      <c r="AA53" s="27"/>
      <c r="AC53" s="29">
        <f t="shared" si="1"/>
        <v>1</v>
      </c>
      <c r="AD53" s="27">
        <f t="shared" si="30"/>
        <v>10000000</v>
      </c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>
        <v>10000000</v>
      </c>
      <c r="AT53" s="27"/>
      <c r="AU53" s="27"/>
      <c r="AV53" s="27"/>
      <c r="AW53" s="27"/>
      <c r="AX53" s="27"/>
      <c r="AY53" s="29">
        <f t="shared" si="3"/>
        <v>0</v>
      </c>
      <c r="AZ53" s="27">
        <f t="shared" si="31"/>
        <v>0</v>
      </c>
      <c r="BA53" s="27">
        <f t="shared" si="32"/>
        <v>0</v>
      </c>
      <c r="BB53" s="27">
        <f t="shared" si="33"/>
        <v>0</v>
      </c>
      <c r="BC53" s="27">
        <f t="shared" si="33"/>
        <v>0</v>
      </c>
      <c r="BD53" s="27">
        <f t="shared" si="33"/>
        <v>0</v>
      </c>
      <c r="BE53" s="27">
        <f t="shared" ref="BE53:BI57" si="60">+L53-AI53</f>
        <v>0</v>
      </c>
      <c r="BF53" s="27">
        <f t="shared" si="60"/>
        <v>0</v>
      </c>
      <c r="BG53" s="27">
        <f t="shared" si="60"/>
        <v>0</v>
      </c>
      <c r="BH53" s="27">
        <f t="shared" si="60"/>
        <v>0</v>
      </c>
      <c r="BI53" s="27">
        <f t="shared" si="60"/>
        <v>0</v>
      </c>
      <c r="BJ53" s="27">
        <f t="shared" si="52"/>
        <v>0</v>
      </c>
      <c r="BK53" s="27">
        <f t="shared" ref="BK53:BP57" si="61">+R53-AO53</f>
        <v>0</v>
      </c>
      <c r="BL53" s="27">
        <f t="shared" si="61"/>
        <v>0</v>
      </c>
      <c r="BM53" s="27">
        <f t="shared" si="61"/>
        <v>0</v>
      </c>
      <c r="BN53" s="27">
        <f t="shared" si="61"/>
        <v>0</v>
      </c>
      <c r="BO53" s="27">
        <f t="shared" si="61"/>
        <v>0</v>
      </c>
      <c r="BP53" s="27">
        <f t="shared" si="61"/>
        <v>0</v>
      </c>
      <c r="BQ53" s="27"/>
      <c r="BR53" s="27"/>
      <c r="BS53" s="27">
        <f t="shared" si="46"/>
        <v>0</v>
      </c>
      <c r="BT53" s="27">
        <f t="shared" si="47"/>
        <v>0</v>
      </c>
      <c r="BU53" s="29">
        <f t="shared" si="10"/>
        <v>0.9553836</v>
      </c>
      <c r="BV53" s="27">
        <f t="shared" si="36"/>
        <v>9553836</v>
      </c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>
        <f>+'[6]FEBRERO 2016'!$H$621</f>
        <v>9553836</v>
      </c>
      <c r="CL53" s="27"/>
      <c r="CM53" s="27"/>
      <c r="CN53" s="27"/>
      <c r="CO53" s="27"/>
      <c r="CP53" s="27"/>
      <c r="CQ53" s="29">
        <f t="shared" si="12"/>
        <v>4.4616400000000001E-2</v>
      </c>
      <c r="CR53" s="27">
        <f t="shared" si="37"/>
        <v>446164</v>
      </c>
      <c r="CS53" s="27">
        <f t="shared" si="38"/>
        <v>0</v>
      </c>
      <c r="CT53" s="27">
        <f t="shared" si="38"/>
        <v>0</v>
      </c>
      <c r="CU53" s="27">
        <f t="shared" si="38"/>
        <v>0</v>
      </c>
      <c r="CV53" s="27">
        <f t="shared" si="38"/>
        <v>0</v>
      </c>
      <c r="CW53" s="27">
        <f t="shared" si="38"/>
        <v>0</v>
      </c>
      <c r="CX53" s="27">
        <f t="shared" si="38"/>
        <v>0</v>
      </c>
      <c r="CY53" s="27">
        <f t="shared" si="38"/>
        <v>0</v>
      </c>
      <c r="CZ53" s="27">
        <f t="shared" si="55"/>
        <v>0</v>
      </c>
      <c r="DA53" s="27">
        <f t="shared" si="55"/>
        <v>0</v>
      </c>
      <c r="DB53" s="27">
        <f t="shared" si="56"/>
        <v>0</v>
      </c>
      <c r="DC53" s="27">
        <f t="shared" si="54"/>
        <v>0</v>
      </c>
      <c r="DD53" s="27">
        <f t="shared" si="54"/>
        <v>0</v>
      </c>
      <c r="DE53" s="27">
        <f t="shared" si="54"/>
        <v>0</v>
      </c>
      <c r="DF53" s="27">
        <f t="shared" si="57"/>
        <v>0</v>
      </c>
      <c r="DG53" s="27">
        <f t="shared" si="57"/>
        <v>446164</v>
      </c>
      <c r="DH53" s="27">
        <f t="shared" si="57"/>
        <v>0</v>
      </c>
      <c r="DI53" s="27"/>
      <c r="DJ53" s="27">
        <f t="shared" si="58"/>
        <v>0</v>
      </c>
      <c r="DK53" s="27">
        <f t="shared" si="53"/>
        <v>0</v>
      </c>
      <c r="DL53" s="27">
        <f t="shared" si="59"/>
        <v>0</v>
      </c>
      <c r="DN53" s="193"/>
      <c r="DO53" s="193"/>
      <c r="DP53" s="193"/>
      <c r="DQ53" s="193"/>
      <c r="DR53" s="193"/>
    </row>
    <row r="54" spans="1:123" ht="31.5" hidden="1" customHeight="1" x14ac:dyDescent="0.25">
      <c r="A54" s="236"/>
      <c r="B54" s="230"/>
      <c r="C54" s="23" t="s">
        <v>166</v>
      </c>
      <c r="D54" s="24" t="s">
        <v>167</v>
      </c>
      <c r="E54" s="25">
        <v>410</v>
      </c>
      <c r="F54" s="26" t="s">
        <v>89</v>
      </c>
      <c r="G54" s="27">
        <f t="shared" si="29"/>
        <v>30000000</v>
      </c>
      <c r="H54" s="27"/>
      <c r="I54" s="39"/>
      <c r="J54" s="27">
        <f>11831904</f>
        <v>11831904</v>
      </c>
      <c r="K54" s="27"/>
      <c r="L54" s="39"/>
      <c r="M54" s="39"/>
      <c r="N54" s="39"/>
      <c r="O54" s="39"/>
      <c r="P54" s="27"/>
      <c r="Q54" s="27"/>
      <c r="R54" s="27"/>
      <c r="S54" s="27"/>
      <c r="T54" s="27"/>
      <c r="U54" s="27"/>
      <c r="V54" s="27">
        <v>18168096</v>
      </c>
      <c r="W54" s="27"/>
      <c r="X54" s="27"/>
      <c r="Y54" s="27"/>
      <c r="Z54" s="27"/>
      <c r="AA54" s="27"/>
      <c r="AC54" s="29">
        <f t="shared" si="1"/>
        <v>1</v>
      </c>
      <c r="AD54" s="27">
        <f t="shared" si="30"/>
        <v>30000000</v>
      </c>
      <c r="AE54" s="27"/>
      <c r="AF54" s="27"/>
      <c r="AG54" s="27">
        <f>+'[2]MARZO 2016 ULTIMO'!$M$817</f>
        <v>11831904</v>
      </c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>
        <v>18168096</v>
      </c>
      <c r="AT54" s="27"/>
      <c r="AU54" s="27"/>
      <c r="AV54" s="27"/>
      <c r="AW54" s="27"/>
      <c r="AX54" s="27"/>
      <c r="AY54" s="29">
        <f t="shared" si="3"/>
        <v>0</v>
      </c>
      <c r="AZ54" s="27">
        <f t="shared" si="31"/>
        <v>0</v>
      </c>
      <c r="BA54" s="27">
        <f t="shared" si="32"/>
        <v>0</v>
      </c>
      <c r="BB54" s="27">
        <f t="shared" si="33"/>
        <v>0</v>
      </c>
      <c r="BC54" s="27">
        <f t="shared" si="33"/>
        <v>0</v>
      </c>
      <c r="BD54" s="27">
        <f t="shared" si="33"/>
        <v>0</v>
      </c>
      <c r="BE54" s="27">
        <f t="shared" si="60"/>
        <v>0</v>
      </c>
      <c r="BF54" s="27">
        <f t="shared" si="60"/>
        <v>0</v>
      </c>
      <c r="BG54" s="27">
        <f t="shared" si="60"/>
        <v>0</v>
      </c>
      <c r="BH54" s="27">
        <f t="shared" si="60"/>
        <v>0</v>
      </c>
      <c r="BI54" s="27">
        <f t="shared" si="60"/>
        <v>0</v>
      </c>
      <c r="BJ54" s="27">
        <f t="shared" si="52"/>
        <v>0</v>
      </c>
      <c r="BK54" s="27">
        <f t="shared" si="61"/>
        <v>0</v>
      </c>
      <c r="BL54" s="27">
        <f t="shared" si="61"/>
        <v>0</v>
      </c>
      <c r="BM54" s="27">
        <f t="shared" si="61"/>
        <v>0</v>
      </c>
      <c r="BN54" s="27">
        <f t="shared" si="61"/>
        <v>0</v>
      </c>
      <c r="BO54" s="27">
        <f t="shared" si="61"/>
        <v>0</v>
      </c>
      <c r="BP54" s="27">
        <f t="shared" si="61"/>
        <v>0</v>
      </c>
      <c r="BQ54" s="27"/>
      <c r="BR54" s="27"/>
      <c r="BS54" s="27">
        <f t="shared" si="46"/>
        <v>0</v>
      </c>
      <c r="BT54" s="27">
        <f t="shared" si="47"/>
        <v>0</v>
      </c>
      <c r="BU54" s="29">
        <f t="shared" si="10"/>
        <v>0.87308026666666672</v>
      </c>
      <c r="BV54" s="27">
        <f t="shared" si="36"/>
        <v>26192408</v>
      </c>
      <c r="BW54" s="27"/>
      <c r="BX54" s="27"/>
      <c r="BY54" s="27">
        <f>+'[1]JUNIO 2016'!$H$1385</f>
        <v>8024312</v>
      </c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>
        <f>+'[6]FEBRERO 2016'!$H$635</f>
        <v>18168096</v>
      </c>
      <c r="CL54" s="27"/>
      <c r="CM54" s="27"/>
      <c r="CN54" s="27"/>
      <c r="CO54" s="27"/>
      <c r="CP54" s="27"/>
      <c r="CQ54" s="29">
        <f t="shared" si="12"/>
        <v>0.12691973333333328</v>
      </c>
      <c r="CR54" s="27">
        <f t="shared" si="37"/>
        <v>3807592</v>
      </c>
      <c r="CS54" s="27">
        <f t="shared" si="38"/>
        <v>0</v>
      </c>
      <c r="CT54" s="27">
        <f t="shared" si="38"/>
        <v>0</v>
      </c>
      <c r="CU54" s="27">
        <f t="shared" si="38"/>
        <v>3807592</v>
      </c>
      <c r="CV54" s="27">
        <f t="shared" si="38"/>
        <v>0</v>
      </c>
      <c r="CW54" s="27">
        <f t="shared" si="38"/>
        <v>0</v>
      </c>
      <c r="CX54" s="27">
        <f t="shared" si="38"/>
        <v>0</v>
      </c>
      <c r="CY54" s="27">
        <f t="shared" si="38"/>
        <v>0</v>
      </c>
      <c r="CZ54" s="27">
        <f t="shared" si="55"/>
        <v>0</v>
      </c>
      <c r="DA54" s="27">
        <f t="shared" si="55"/>
        <v>0</v>
      </c>
      <c r="DB54" s="27">
        <f t="shared" si="56"/>
        <v>0</v>
      </c>
      <c r="DC54" s="27">
        <f t="shared" si="54"/>
        <v>0</v>
      </c>
      <c r="DD54" s="27">
        <f t="shared" si="54"/>
        <v>0</v>
      </c>
      <c r="DE54" s="27">
        <f t="shared" si="54"/>
        <v>0</v>
      </c>
      <c r="DF54" s="27">
        <f t="shared" si="57"/>
        <v>0</v>
      </c>
      <c r="DG54" s="27">
        <f t="shared" si="57"/>
        <v>0</v>
      </c>
      <c r="DH54" s="27">
        <f t="shared" si="57"/>
        <v>0</v>
      </c>
      <c r="DI54" s="27"/>
      <c r="DJ54" s="27">
        <f t="shared" si="58"/>
        <v>0</v>
      </c>
      <c r="DK54" s="27">
        <f t="shared" si="53"/>
        <v>0</v>
      </c>
      <c r="DL54" s="27">
        <f t="shared" si="59"/>
        <v>0</v>
      </c>
      <c r="DN54" s="193"/>
      <c r="DO54" s="193"/>
      <c r="DP54" s="193"/>
      <c r="DQ54" s="193"/>
      <c r="DR54" s="193"/>
    </row>
    <row r="55" spans="1:123" ht="19.5" hidden="1" customHeight="1" x14ac:dyDescent="0.25">
      <c r="A55" s="236"/>
      <c r="B55" s="230"/>
      <c r="C55" s="23" t="s">
        <v>168</v>
      </c>
      <c r="D55" s="24" t="s">
        <v>169</v>
      </c>
      <c r="E55" s="25">
        <v>410</v>
      </c>
      <c r="F55" s="26" t="s">
        <v>89</v>
      </c>
      <c r="G55" s="27">
        <f t="shared" si="29"/>
        <v>10000000</v>
      </c>
      <c r="H55" s="27"/>
      <c r="I55" s="39"/>
      <c r="J55" s="39"/>
      <c r="K55" s="39"/>
      <c r="L55" s="39"/>
      <c r="M55" s="39"/>
      <c r="N55" s="39"/>
      <c r="O55" s="39"/>
      <c r="P55" s="27"/>
      <c r="Q55" s="27"/>
      <c r="R55" s="27"/>
      <c r="S55" s="27"/>
      <c r="T55" s="27"/>
      <c r="U55" s="27"/>
      <c r="V55" s="27">
        <v>10000000</v>
      </c>
      <c r="W55" s="27"/>
      <c r="X55" s="27"/>
      <c r="Y55" s="27"/>
      <c r="Z55" s="27"/>
      <c r="AA55" s="27"/>
      <c r="AC55" s="29">
        <f t="shared" si="1"/>
        <v>1</v>
      </c>
      <c r="AD55" s="27">
        <f t="shared" si="30"/>
        <v>10000000</v>
      </c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>
        <f>+'[5]ENERO 2016'!$Y$478</f>
        <v>10000000</v>
      </c>
      <c r="AT55" s="27"/>
      <c r="AU55" s="27"/>
      <c r="AV55" s="27"/>
      <c r="AW55" s="27"/>
      <c r="AX55" s="27"/>
      <c r="AY55" s="29">
        <f t="shared" si="3"/>
        <v>0</v>
      </c>
      <c r="AZ55" s="27">
        <f t="shared" si="31"/>
        <v>0</v>
      </c>
      <c r="BA55" s="27">
        <f t="shared" si="32"/>
        <v>0</v>
      </c>
      <c r="BB55" s="27">
        <f t="shared" si="33"/>
        <v>0</v>
      </c>
      <c r="BC55" s="27">
        <f t="shared" si="33"/>
        <v>0</v>
      </c>
      <c r="BD55" s="27">
        <f t="shared" si="33"/>
        <v>0</v>
      </c>
      <c r="BE55" s="27">
        <f t="shared" si="60"/>
        <v>0</v>
      </c>
      <c r="BF55" s="27">
        <f t="shared" si="60"/>
        <v>0</v>
      </c>
      <c r="BG55" s="27">
        <f t="shared" si="60"/>
        <v>0</v>
      </c>
      <c r="BH55" s="27">
        <f t="shared" si="60"/>
        <v>0</v>
      </c>
      <c r="BI55" s="27">
        <f t="shared" si="60"/>
        <v>0</v>
      </c>
      <c r="BJ55" s="27">
        <f t="shared" si="52"/>
        <v>0</v>
      </c>
      <c r="BK55" s="27">
        <f t="shared" si="61"/>
        <v>0</v>
      </c>
      <c r="BL55" s="27">
        <f t="shared" si="61"/>
        <v>0</v>
      </c>
      <c r="BM55" s="27">
        <f t="shared" si="61"/>
        <v>0</v>
      </c>
      <c r="BN55" s="27">
        <f t="shared" si="61"/>
        <v>0</v>
      </c>
      <c r="BO55" s="27">
        <f t="shared" si="61"/>
        <v>0</v>
      </c>
      <c r="BP55" s="27">
        <f t="shared" si="61"/>
        <v>0</v>
      </c>
      <c r="BQ55" s="27"/>
      <c r="BR55" s="27"/>
      <c r="BS55" s="27">
        <f t="shared" si="46"/>
        <v>0</v>
      </c>
      <c r="BT55" s="27">
        <f t="shared" si="47"/>
        <v>0</v>
      </c>
      <c r="BU55" s="29">
        <f t="shared" si="10"/>
        <v>1</v>
      </c>
      <c r="BV55" s="27">
        <f t="shared" si="36"/>
        <v>10000000</v>
      </c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>
        <v>10000000</v>
      </c>
      <c r="CL55" s="27"/>
      <c r="CM55" s="27"/>
      <c r="CN55" s="27"/>
      <c r="CO55" s="27"/>
      <c r="CP55" s="27"/>
      <c r="CQ55" s="29">
        <f t="shared" si="12"/>
        <v>0</v>
      </c>
      <c r="CR55" s="27">
        <f t="shared" si="37"/>
        <v>0</v>
      </c>
      <c r="CS55" s="27">
        <f t="shared" si="38"/>
        <v>0</v>
      </c>
      <c r="CT55" s="27">
        <f t="shared" si="38"/>
        <v>0</v>
      </c>
      <c r="CU55" s="27">
        <f t="shared" si="38"/>
        <v>0</v>
      </c>
      <c r="CV55" s="27">
        <f t="shared" si="38"/>
        <v>0</v>
      </c>
      <c r="CW55" s="27">
        <f t="shared" si="38"/>
        <v>0</v>
      </c>
      <c r="CX55" s="27">
        <f t="shared" si="38"/>
        <v>0</v>
      </c>
      <c r="CY55" s="27">
        <f t="shared" si="38"/>
        <v>0</v>
      </c>
      <c r="CZ55" s="27">
        <f t="shared" si="55"/>
        <v>0</v>
      </c>
      <c r="DA55" s="27">
        <f t="shared" si="55"/>
        <v>0</v>
      </c>
      <c r="DB55" s="27">
        <f t="shared" si="56"/>
        <v>0</v>
      </c>
      <c r="DC55" s="27">
        <f t="shared" si="54"/>
        <v>0</v>
      </c>
      <c r="DD55" s="27">
        <f t="shared" si="54"/>
        <v>0</v>
      </c>
      <c r="DE55" s="27">
        <f t="shared" si="54"/>
        <v>0</v>
      </c>
      <c r="DF55" s="27">
        <f t="shared" si="57"/>
        <v>0</v>
      </c>
      <c r="DG55" s="27">
        <f t="shared" si="57"/>
        <v>0</v>
      </c>
      <c r="DH55" s="27">
        <f t="shared" si="57"/>
        <v>0</v>
      </c>
      <c r="DI55" s="27"/>
      <c r="DJ55" s="27">
        <f t="shared" si="58"/>
        <v>0</v>
      </c>
      <c r="DK55" s="27">
        <f t="shared" si="53"/>
        <v>0</v>
      </c>
      <c r="DL55" s="27">
        <f t="shared" si="59"/>
        <v>0</v>
      </c>
      <c r="DN55" s="193"/>
      <c r="DO55" s="193"/>
      <c r="DP55" s="193"/>
      <c r="DQ55" s="193"/>
      <c r="DR55" s="193"/>
    </row>
    <row r="56" spans="1:123" ht="24.75" hidden="1" customHeight="1" x14ac:dyDescent="0.25">
      <c r="A56" s="236"/>
      <c r="B56" s="230"/>
      <c r="C56" s="23" t="s">
        <v>170</v>
      </c>
      <c r="D56" s="24" t="s">
        <v>171</v>
      </c>
      <c r="E56" s="25">
        <v>410</v>
      </c>
      <c r="F56" s="26" t="s">
        <v>89</v>
      </c>
      <c r="G56" s="27">
        <f t="shared" si="29"/>
        <v>94368590</v>
      </c>
      <c r="H56" s="27"/>
      <c r="I56" s="39"/>
      <c r="J56" s="39"/>
      <c r="K56" s="39"/>
      <c r="L56" s="39"/>
      <c r="M56" s="39">
        <f>74368590</f>
        <v>74368590</v>
      </c>
      <c r="N56" s="39"/>
      <c r="O56" s="39"/>
      <c r="P56" s="27"/>
      <c r="Q56" s="27"/>
      <c r="R56" s="27"/>
      <c r="S56" s="27"/>
      <c r="T56" s="27"/>
      <c r="U56" s="27"/>
      <c r="V56" s="27">
        <v>20000000</v>
      </c>
      <c r="W56" s="27"/>
      <c r="X56" s="27"/>
      <c r="Y56" s="27"/>
      <c r="Z56" s="27"/>
      <c r="AA56" s="27"/>
      <c r="AC56" s="29">
        <f t="shared" si="1"/>
        <v>0.19263147833405161</v>
      </c>
      <c r="AD56" s="27">
        <f t="shared" si="30"/>
        <v>18178361</v>
      </c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>
        <f>+'[1]JUNIO 2016'!$Y$1439</f>
        <v>18178361</v>
      </c>
      <c r="AT56" s="27"/>
      <c r="AU56" s="27"/>
      <c r="AV56" s="27"/>
      <c r="AW56" s="27"/>
      <c r="AX56" s="27"/>
      <c r="AY56" s="29">
        <f t="shared" si="3"/>
        <v>0.80736852166594841</v>
      </c>
      <c r="AZ56" s="27">
        <f t="shared" si="31"/>
        <v>76190229</v>
      </c>
      <c r="BA56" s="27">
        <f t="shared" si="32"/>
        <v>0</v>
      </c>
      <c r="BB56" s="27">
        <f t="shared" si="33"/>
        <v>0</v>
      </c>
      <c r="BC56" s="27">
        <f t="shared" si="33"/>
        <v>0</v>
      </c>
      <c r="BD56" s="27">
        <f t="shared" si="33"/>
        <v>0</v>
      </c>
      <c r="BE56" s="27">
        <f t="shared" si="60"/>
        <v>0</v>
      </c>
      <c r="BF56" s="27">
        <f t="shared" si="60"/>
        <v>74368590</v>
      </c>
      <c r="BG56" s="27">
        <f t="shared" si="60"/>
        <v>0</v>
      </c>
      <c r="BH56" s="27">
        <f t="shared" si="60"/>
        <v>0</v>
      </c>
      <c r="BI56" s="27">
        <f t="shared" si="60"/>
        <v>0</v>
      </c>
      <c r="BJ56" s="27">
        <f t="shared" si="52"/>
        <v>0</v>
      </c>
      <c r="BK56" s="27">
        <f t="shared" si="61"/>
        <v>0</v>
      </c>
      <c r="BL56" s="27">
        <f t="shared" si="61"/>
        <v>0</v>
      </c>
      <c r="BM56" s="27">
        <f t="shared" si="61"/>
        <v>0</v>
      </c>
      <c r="BN56" s="27">
        <f t="shared" si="61"/>
        <v>0</v>
      </c>
      <c r="BO56" s="27">
        <f t="shared" si="61"/>
        <v>1821639</v>
      </c>
      <c r="BP56" s="27">
        <f t="shared" si="61"/>
        <v>0</v>
      </c>
      <c r="BQ56" s="27"/>
      <c r="BR56" s="27"/>
      <c r="BS56" s="27">
        <f t="shared" si="46"/>
        <v>0</v>
      </c>
      <c r="BT56" s="27">
        <f t="shared" si="47"/>
        <v>0</v>
      </c>
      <c r="BU56" s="29">
        <f t="shared" si="10"/>
        <v>0.1452287037456001</v>
      </c>
      <c r="BV56" s="27">
        <f t="shared" si="36"/>
        <v>13705028</v>
      </c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>
        <f>+'[1]JUNIO 2016'!$H$1437</f>
        <v>13705028</v>
      </c>
      <c r="CL56" s="27"/>
      <c r="CM56" s="27"/>
      <c r="CN56" s="27"/>
      <c r="CO56" s="27"/>
      <c r="CP56" s="27"/>
      <c r="CQ56" s="29">
        <f t="shared" si="12"/>
        <v>0.85477129625439985</v>
      </c>
      <c r="CR56" s="27">
        <f t="shared" si="37"/>
        <v>80663562</v>
      </c>
      <c r="CS56" s="27">
        <f t="shared" si="38"/>
        <v>0</v>
      </c>
      <c r="CT56" s="27">
        <f t="shared" si="38"/>
        <v>0</v>
      </c>
      <c r="CU56" s="27">
        <f t="shared" si="38"/>
        <v>0</v>
      </c>
      <c r="CV56" s="27">
        <f t="shared" si="38"/>
        <v>0</v>
      </c>
      <c r="CW56" s="27">
        <f t="shared" si="38"/>
        <v>0</v>
      </c>
      <c r="CX56" s="27">
        <f t="shared" si="38"/>
        <v>74368590</v>
      </c>
      <c r="CY56" s="27">
        <f t="shared" si="38"/>
        <v>0</v>
      </c>
      <c r="CZ56" s="27">
        <f t="shared" si="55"/>
        <v>0</v>
      </c>
      <c r="DA56" s="27">
        <f t="shared" si="55"/>
        <v>0</v>
      </c>
      <c r="DB56" s="27">
        <f t="shared" si="56"/>
        <v>0</v>
      </c>
      <c r="DC56" s="27">
        <f t="shared" si="54"/>
        <v>0</v>
      </c>
      <c r="DD56" s="27">
        <f t="shared" si="54"/>
        <v>0</v>
      </c>
      <c r="DE56" s="27">
        <f t="shared" si="54"/>
        <v>0</v>
      </c>
      <c r="DF56" s="27">
        <f t="shared" si="57"/>
        <v>0</v>
      </c>
      <c r="DG56" s="27">
        <f t="shared" si="57"/>
        <v>6294972</v>
      </c>
      <c r="DH56" s="27">
        <f t="shared" si="57"/>
        <v>0</v>
      </c>
      <c r="DI56" s="27"/>
      <c r="DJ56" s="27">
        <f t="shared" si="58"/>
        <v>0</v>
      </c>
      <c r="DK56" s="27">
        <f t="shared" si="53"/>
        <v>0</v>
      </c>
      <c r="DL56" s="27">
        <f t="shared" si="59"/>
        <v>0</v>
      </c>
      <c r="DN56" s="193"/>
      <c r="DO56" s="193"/>
      <c r="DP56" s="193"/>
      <c r="DQ56" s="193"/>
      <c r="DR56" s="193"/>
    </row>
    <row r="57" spans="1:123" ht="32.25" hidden="1" customHeight="1" x14ac:dyDescent="0.25">
      <c r="A57" s="237"/>
      <c r="B57" s="231"/>
      <c r="C57" s="23" t="s">
        <v>172</v>
      </c>
      <c r="D57" s="24" t="s">
        <v>173</v>
      </c>
      <c r="E57" s="25">
        <v>410</v>
      </c>
      <c r="F57" s="26" t="s">
        <v>89</v>
      </c>
      <c r="G57" s="27">
        <f t="shared" si="29"/>
        <v>16000000</v>
      </c>
      <c r="H57" s="27"/>
      <c r="I57" s="39"/>
      <c r="J57" s="39"/>
      <c r="K57" s="39"/>
      <c r="L57" s="39"/>
      <c r="M57" s="39"/>
      <c r="N57" s="39"/>
      <c r="O57" s="39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>
        <f>16000000</f>
        <v>16000000</v>
      </c>
      <c r="AC57" s="29">
        <f t="shared" si="1"/>
        <v>1</v>
      </c>
      <c r="AD57" s="27">
        <f t="shared" si="30"/>
        <v>16000000</v>
      </c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>
        <f>+'[2]MARZO 2016 ULTIMO'!$AF$846</f>
        <v>16000000</v>
      </c>
      <c r="AY57" s="29">
        <f t="shared" si="3"/>
        <v>0</v>
      </c>
      <c r="AZ57" s="27">
        <f t="shared" si="31"/>
        <v>0</v>
      </c>
      <c r="BA57" s="27">
        <f t="shared" si="32"/>
        <v>0</v>
      </c>
      <c r="BB57" s="27">
        <f t="shared" si="33"/>
        <v>0</v>
      </c>
      <c r="BC57" s="27">
        <f t="shared" si="33"/>
        <v>0</v>
      </c>
      <c r="BD57" s="27">
        <f t="shared" si="33"/>
        <v>0</v>
      </c>
      <c r="BE57" s="27">
        <f t="shared" si="60"/>
        <v>0</v>
      </c>
      <c r="BF57" s="27">
        <f t="shared" si="60"/>
        <v>0</v>
      </c>
      <c r="BG57" s="27">
        <f t="shared" si="60"/>
        <v>0</v>
      </c>
      <c r="BH57" s="27">
        <f t="shared" si="60"/>
        <v>0</v>
      </c>
      <c r="BI57" s="27">
        <f t="shared" si="60"/>
        <v>0</v>
      </c>
      <c r="BJ57" s="27">
        <f t="shared" si="52"/>
        <v>0</v>
      </c>
      <c r="BK57" s="27">
        <f t="shared" si="61"/>
        <v>0</v>
      </c>
      <c r="BL57" s="27">
        <f t="shared" si="61"/>
        <v>0</v>
      </c>
      <c r="BM57" s="27">
        <f t="shared" si="61"/>
        <v>0</v>
      </c>
      <c r="BN57" s="27">
        <f t="shared" si="61"/>
        <v>0</v>
      </c>
      <c r="BO57" s="27">
        <f t="shared" si="61"/>
        <v>0</v>
      </c>
      <c r="BP57" s="27">
        <f t="shared" si="61"/>
        <v>0</v>
      </c>
      <c r="BQ57" s="27"/>
      <c r="BR57" s="27"/>
      <c r="BS57" s="27">
        <f t="shared" si="46"/>
        <v>0</v>
      </c>
      <c r="BT57" s="27">
        <f t="shared" si="47"/>
        <v>0</v>
      </c>
      <c r="BU57" s="29">
        <f t="shared" si="10"/>
        <v>0.4375</v>
      </c>
      <c r="BV57" s="27">
        <f t="shared" si="36"/>
        <v>7000000</v>
      </c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>
        <f>+'[1]JUNIO 2016'!$H$1454</f>
        <v>7000000</v>
      </c>
      <c r="CQ57" s="29">
        <f t="shared" si="12"/>
        <v>0.5625</v>
      </c>
      <c r="CR57" s="27">
        <f t="shared" si="37"/>
        <v>9000000</v>
      </c>
      <c r="CS57" s="27">
        <f t="shared" si="38"/>
        <v>0</v>
      </c>
      <c r="CT57" s="27">
        <f t="shared" si="38"/>
        <v>0</v>
      </c>
      <c r="CU57" s="27">
        <f t="shared" si="38"/>
        <v>0</v>
      </c>
      <c r="CV57" s="27">
        <f t="shared" ref="CV57:CY57" si="62">K57-BZ57</f>
        <v>0</v>
      </c>
      <c r="CW57" s="27">
        <f t="shared" si="62"/>
        <v>0</v>
      </c>
      <c r="CX57" s="27">
        <f t="shared" si="62"/>
        <v>0</v>
      </c>
      <c r="CY57" s="27">
        <f t="shared" si="62"/>
        <v>0</v>
      </c>
      <c r="CZ57" s="27">
        <f t="shared" si="55"/>
        <v>0</v>
      </c>
      <c r="DA57" s="27">
        <f t="shared" si="55"/>
        <v>0</v>
      </c>
      <c r="DB57" s="27">
        <f t="shared" si="56"/>
        <v>0</v>
      </c>
      <c r="DC57" s="27">
        <f t="shared" si="54"/>
        <v>0</v>
      </c>
      <c r="DD57" s="27">
        <f t="shared" si="54"/>
        <v>0</v>
      </c>
      <c r="DE57" s="27">
        <f t="shared" si="54"/>
        <v>0</v>
      </c>
      <c r="DF57" s="27">
        <f t="shared" si="57"/>
        <v>0</v>
      </c>
      <c r="DG57" s="27">
        <f t="shared" si="57"/>
        <v>0</v>
      </c>
      <c r="DH57" s="27">
        <f t="shared" si="57"/>
        <v>0</v>
      </c>
      <c r="DI57" s="27"/>
      <c r="DJ57" s="27">
        <f t="shared" si="58"/>
        <v>0</v>
      </c>
      <c r="DK57" s="27">
        <f t="shared" si="53"/>
        <v>0</v>
      </c>
      <c r="DL57" s="27">
        <f t="shared" si="59"/>
        <v>9000000</v>
      </c>
      <c r="DN57" s="193"/>
      <c r="DO57" s="193"/>
      <c r="DP57" s="193"/>
      <c r="DQ57" s="193"/>
      <c r="DR57" s="193"/>
    </row>
    <row r="58" spans="1:123" s="50" customFormat="1" ht="18" customHeight="1" thickTop="1" thickBot="1" x14ac:dyDescent="0.3">
      <c r="A58" s="66"/>
      <c r="B58" s="277" t="s">
        <v>379</v>
      </c>
      <c r="C58" s="277"/>
      <c r="D58" s="277"/>
      <c r="E58" s="277"/>
      <c r="F58" s="67"/>
      <c r="G58" s="68">
        <f t="shared" ref="G58:AA58" si="63">SUM(G21:G57)</f>
        <v>4334106780</v>
      </c>
      <c r="H58" s="68">
        <f t="shared" si="63"/>
        <v>0</v>
      </c>
      <c r="I58" s="68">
        <f t="shared" si="63"/>
        <v>0</v>
      </c>
      <c r="J58" s="68">
        <f t="shared" si="63"/>
        <v>1163096695</v>
      </c>
      <c r="K58" s="68">
        <f t="shared" si="63"/>
        <v>0</v>
      </c>
      <c r="L58" s="68">
        <f t="shared" si="63"/>
        <v>0</v>
      </c>
      <c r="M58" s="68">
        <f t="shared" si="63"/>
        <v>74368590</v>
      </c>
      <c r="N58" s="68">
        <f t="shared" si="63"/>
        <v>0</v>
      </c>
      <c r="O58" s="68">
        <f t="shared" si="63"/>
        <v>0</v>
      </c>
      <c r="P58" s="68">
        <f t="shared" si="63"/>
        <v>0</v>
      </c>
      <c r="Q58" s="68">
        <f t="shared" si="63"/>
        <v>0</v>
      </c>
      <c r="R58" s="68">
        <f t="shared" si="63"/>
        <v>0</v>
      </c>
      <c r="S58" s="68">
        <f t="shared" si="63"/>
        <v>1344000000</v>
      </c>
      <c r="T58" s="68">
        <f t="shared" si="63"/>
        <v>387696735</v>
      </c>
      <c r="U58" s="68">
        <f t="shared" si="63"/>
        <v>0</v>
      </c>
      <c r="V58" s="68">
        <f t="shared" si="63"/>
        <v>1054833768</v>
      </c>
      <c r="W58" s="68">
        <f t="shared" si="63"/>
        <v>0</v>
      </c>
      <c r="X58" s="68">
        <f t="shared" si="63"/>
        <v>11169156</v>
      </c>
      <c r="Y58" s="68">
        <f t="shared" si="63"/>
        <v>0</v>
      </c>
      <c r="Z58" s="68">
        <f t="shared" si="63"/>
        <v>204741836</v>
      </c>
      <c r="AA58" s="68">
        <f t="shared" si="63"/>
        <v>94200000</v>
      </c>
      <c r="AC58" s="48">
        <f t="shared" si="1"/>
        <v>0.70007118052592143</v>
      </c>
      <c r="AD58" s="68">
        <f>SUM(AD21:AD57)</f>
        <v>3034183250</v>
      </c>
      <c r="AE58" s="68"/>
      <c r="AF58" s="68">
        <f t="shared" ref="AF58:AX58" si="64">SUM(AF21:AF57)</f>
        <v>0</v>
      </c>
      <c r="AG58" s="68">
        <f t="shared" si="64"/>
        <v>702842156</v>
      </c>
      <c r="AH58" s="68">
        <f t="shared" si="64"/>
        <v>0</v>
      </c>
      <c r="AI58" s="68">
        <f t="shared" si="64"/>
        <v>0</v>
      </c>
      <c r="AJ58" s="68">
        <f t="shared" si="64"/>
        <v>0</v>
      </c>
      <c r="AK58" s="68">
        <f t="shared" si="64"/>
        <v>0</v>
      </c>
      <c r="AL58" s="68">
        <f t="shared" si="64"/>
        <v>0</v>
      </c>
      <c r="AM58" s="68">
        <f t="shared" si="64"/>
        <v>0</v>
      </c>
      <c r="AN58" s="68">
        <f t="shared" si="64"/>
        <v>0</v>
      </c>
      <c r="AO58" s="68">
        <f t="shared" si="64"/>
        <v>0</v>
      </c>
      <c r="AP58" s="68">
        <f t="shared" si="64"/>
        <v>1300000000</v>
      </c>
      <c r="AQ58" s="68">
        <f t="shared" si="64"/>
        <v>216735177</v>
      </c>
      <c r="AR58" s="68">
        <f t="shared" si="64"/>
        <v>0</v>
      </c>
      <c r="AS58" s="68">
        <f t="shared" si="64"/>
        <v>747530233</v>
      </c>
      <c r="AT58" s="68">
        <f t="shared" si="64"/>
        <v>0</v>
      </c>
      <c r="AU58" s="68">
        <f t="shared" si="64"/>
        <v>0</v>
      </c>
      <c r="AV58" s="68">
        <f t="shared" si="64"/>
        <v>0</v>
      </c>
      <c r="AW58" s="68">
        <f t="shared" si="64"/>
        <v>23350298</v>
      </c>
      <c r="AX58" s="68">
        <f t="shared" si="64"/>
        <v>43725386</v>
      </c>
      <c r="AY58" s="48">
        <f t="shared" si="3"/>
        <v>0.29992881947407857</v>
      </c>
      <c r="AZ58" s="68">
        <f t="shared" ref="AZ58:BT58" si="65">SUM(AZ21:AZ57)</f>
        <v>1299923530</v>
      </c>
      <c r="BA58" s="68">
        <f t="shared" si="65"/>
        <v>0</v>
      </c>
      <c r="BB58" s="68">
        <f t="shared" si="65"/>
        <v>0</v>
      </c>
      <c r="BC58" s="68">
        <f t="shared" si="65"/>
        <v>460254539</v>
      </c>
      <c r="BD58" s="68">
        <f t="shared" si="65"/>
        <v>0</v>
      </c>
      <c r="BE58" s="68">
        <f t="shared" si="65"/>
        <v>0</v>
      </c>
      <c r="BF58" s="68">
        <f t="shared" si="65"/>
        <v>74368590</v>
      </c>
      <c r="BG58" s="68">
        <f t="shared" si="65"/>
        <v>0</v>
      </c>
      <c r="BH58" s="68">
        <f t="shared" si="65"/>
        <v>0</v>
      </c>
      <c r="BI58" s="68">
        <f t="shared" si="65"/>
        <v>0</v>
      </c>
      <c r="BJ58" s="68">
        <f t="shared" si="65"/>
        <v>0</v>
      </c>
      <c r="BK58" s="68">
        <f t="shared" si="65"/>
        <v>0</v>
      </c>
      <c r="BL58" s="68">
        <f t="shared" si="65"/>
        <v>44000000</v>
      </c>
      <c r="BM58" s="68">
        <f t="shared" si="65"/>
        <v>170961558</v>
      </c>
      <c r="BN58" s="68">
        <f t="shared" si="65"/>
        <v>0</v>
      </c>
      <c r="BO58" s="68">
        <f t="shared" si="65"/>
        <v>307303535</v>
      </c>
      <c r="BP58" s="68">
        <f t="shared" si="65"/>
        <v>0</v>
      </c>
      <c r="BQ58" s="68">
        <f t="shared" si="65"/>
        <v>11169156</v>
      </c>
      <c r="BR58" s="68">
        <f t="shared" si="65"/>
        <v>0</v>
      </c>
      <c r="BS58" s="68">
        <f t="shared" si="65"/>
        <v>181391538</v>
      </c>
      <c r="BT58" s="68">
        <f t="shared" si="65"/>
        <v>50474614</v>
      </c>
      <c r="BU58" s="48">
        <f t="shared" si="10"/>
        <v>0.5147910419041406</v>
      </c>
      <c r="BV58" s="68">
        <f t="shared" ref="BV58:DL58" si="66">SUM(BV21:BV57)</f>
        <v>2231159345</v>
      </c>
      <c r="BW58" s="68">
        <f t="shared" si="66"/>
        <v>0</v>
      </c>
      <c r="BX58" s="68">
        <f t="shared" si="66"/>
        <v>0</v>
      </c>
      <c r="BY58" s="68">
        <f t="shared" si="66"/>
        <v>560130573</v>
      </c>
      <c r="BZ58" s="68">
        <f t="shared" si="66"/>
        <v>0</v>
      </c>
      <c r="CA58" s="68">
        <f t="shared" si="66"/>
        <v>0</v>
      </c>
      <c r="CB58" s="68">
        <f t="shared" si="66"/>
        <v>0</v>
      </c>
      <c r="CC58" s="68">
        <f t="shared" si="66"/>
        <v>0</v>
      </c>
      <c r="CD58" s="68">
        <f t="shared" si="66"/>
        <v>0</v>
      </c>
      <c r="CE58" s="68">
        <f t="shared" si="66"/>
        <v>0</v>
      </c>
      <c r="CF58" s="68">
        <f t="shared" si="66"/>
        <v>0</v>
      </c>
      <c r="CG58" s="68">
        <f t="shared" si="66"/>
        <v>0</v>
      </c>
      <c r="CH58" s="68">
        <f t="shared" si="66"/>
        <v>736592397</v>
      </c>
      <c r="CI58" s="68">
        <f t="shared" si="66"/>
        <v>216735177</v>
      </c>
      <c r="CJ58" s="68">
        <f t="shared" si="66"/>
        <v>0</v>
      </c>
      <c r="CK58" s="68">
        <f t="shared" si="66"/>
        <v>659625514</v>
      </c>
      <c r="CL58" s="68">
        <f t="shared" si="66"/>
        <v>0</v>
      </c>
      <c r="CM58" s="68">
        <f t="shared" si="66"/>
        <v>0</v>
      </c>
      <c r="CN58" s="68">
        <f t="shared" si="66"/>
        <v>0</v>
      </c>
      <c r="CO58" s="68">
        <f t="shared" si="66"/>
        <v>23350298</v>
      </c>
      <c r="CP58" s="68">
        <f t="shared" si="66"/>
        <v>34725386</v>
      </c>
      <c r="CQ58" s="48">
        <f t="shared" si="12"/>
        <v>0.4852089580958594</v>
      </c>
      <c r="CR58" s="68">
        <f t="shared" si="66"/>
        <v>2102947435</v>
      </c>
      <c r="CS58" s="68">
        <f t="shared" si="66"/>
        <v>0</v>
      </c>
      <c r="CT58" s="68">
        <f t="shared" si="66"/>
        <v>0</v>
      </c>
      <c r="CU58" s="68">
        <f t="shared" si="66"/>
        <v>602966122</v>
      </c>
      <c r="CV58" s="68">
        <f t="shared" si="66"/>
        <v>0</v>
      </c>
      <c r="CW58" s="68">
        <f t="shared" si="66"/>
        <v>0</v>
      </c>
      <c r="CX58" s="68">
        <f t="shared" si="66"/>
        <v>74368590</v>
      </c>
      <c r="CY58" s="68">
        <f t="shared" si="66"/>
        <v>0</v>
      </c>
      <c r="CZ58" s="68">
        <f t="shared" si="66"/>
        <v>0</v>
      </c>
      <c r="DA58" s="68">
        <f t="shared" si="66"/>
        <v>0</v>
      </c>
      <c r="DB58" s="68">
        <f t="shared" si="66"/>
        <v>0</v>
      </c>
      <c r="DC58" s="68">
        <f t="shared" si="66"/>
        <v>0</v>
      </c>
      <c r="DD58" s="68">
        <f t="shared" si="66"/>
        <v>607407603</v>
      </c>
      <c r="DE58" s="68">
        <f t="shared" si="66"/>
        <v>170961558</v>
      </c>
      <c r="DF58" s="68">
        <f t="shared" si="66"/>
        <v>0</v>
      </c>
      <c r="DG58" s="68">
        <f t="shared" si="66"/>
        <v>395208254</v>
      </c>
      <c r="DH58" s="68">
        <f t="shared" si="66"/>
        <v>0</v>
      </c>
      <c r="DI58" s="68">
        <f t="shared" si="66"/>
        <v>11169156</v>
      </c>
      <c r="DJ58" s="68">
        <f t="shared" si="66"/>
        <v>0</v>
      </c>
      <c r="DK58" s="68">
        <f t="shared" si="66"/>
        <v>181391538</v>
      </c>
      <c r="DL58" s="69">
        <f t="shared" si="66"/>
        <v>59474614</v>
      </c>
      <c r="DN58" s="193" t="s">
        <v>387</v>
      </c>
      <c r="DO58" s="193"/>
      <c r="DP58" s="195">
        <v>4334106780</v>
      </c>
      <c r="DQ58" s="196">
        <v>2231159345</v>
      </c>
      <c r="DR58" s="197">
        <v>0.51480000000000004</v>
      </c>
      <c r="DS58" s="189"/>
    </row>
    <row r="59" spans="1:123" ht="48.75" hidden="1" thickTop="1" x14ac:dyDescent="0.25">
      <c r="A59" s="226" t="s">
        <v>175</v>
      </c>
      <c r="B59" s="229" t="s">
        <v>176</v>
      </c>
      <c r="C59" s="23" t="s">
        <v>177</v>
      </c>
      <c r="D59" s="24" t="s">
        <v>178</v>
      </c>
      <c r="E59" s="25">
        <v>520</v>
      </c>
      <c r="F59" s="26" t="s">
        <v>179</v>
      </c>
      <c r="G59" s="27">
        <f t="shared" ref="G59:G90" si="67">SUM(H59:AA59)</f>
        <v>108000000</v>
      </c>
      <c r="H59" s="27"/>
      <c r="I59" s="27"/>
      <c r="J59" s="27"/>
      <c r="K59" s="27"/>
      <c r="L59" s="27"/>
      <c r="M59" s="27">
        <f>50000000</f>
        <v>50000000</v>
      </c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>
        <f>50000000+8000000</f>
        <v>58000000</v>
      </c>
      <c r="AC59" s="29">
        <f t="shared" si="1"/>
        <v>0.39246537962962963</v>
      </c>
      <c r="AD59" s="27">
        <f t="shared" ref="AD59:AD90" si="68">SUM(AE59:AX59)</f>
        <v>42386261</v>
      </c>
      <c r="AE59" s="27"/>
      <c r="AF59" s="27"/>
      <c r="AG59" s="27"/>
      <c r="AH59" s="27"/>
      <c r="AI59" s="27"/>
      <c r="AJ59" s="27">
        <f>+'[3]MAYO 2016'!$P$1508</f>
        <v>24212635</v>
      </c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>
        <f>+'[3]MAYO 2016'!$AG$1508</f>
        <v>18173626</v>
      </c>
      <c r="AY59" s="29">
        <f t="shared" si="3"/>
        <v>0.60753462037037043</v>
      </c>
      <c r="AZ59" s="27">
        <f t="shared" ref="AZ59:AZ90" si="69">SUM(BA59:BT59)</f>
        <v>65613739</v>
      </c>
      <c r="BA59" s="27">
        <f t="shared" ref="BA59:BA90" si="70">+H59</f>
        <v>0</v>
      </c>
      <c r="BB59" s="27">
        <f t="shared" ref="BB59:BP90" si="71">I59-AF59</f>
        <v>0</v>
      </c>
      <c r="BC59" s="27">
        <f t="shared" si="71"/>
        <v>0</v>
      </c>
      <c r="BD59" s="27">
        <f t="shared" si="71"/>
        <v>0</v>
      </c>
      <c r="BE59" s="27">
        <f t="shared" ref="BE59:BP68" si="72">+L59-AI59</f>
        <v>0</v>
      </c>
      <c r="BF59" s="27">
        <f t="shared" si="72"/>
        <v>25787365</v>
      </c>
      <c r="BG59" s="27">
        <f t="shared" si="72"/>
        <v>0</v>
      </c>
      <c r="BH59" s="27">
        <f t="shared" si="72"/>
        <v>0</v>
      </c>
      <c r="BI59" s="27">
        <f t="shared" si="72"/>
        <v>0</v>
      </c>
      <c r="BJ59" s="27">
        <f t="shared" si="72"/>
        <v>0</v>
      </c>
      <c r="BK59" s="27">
        <f t="shared" si="72"/>
        <v>0</v>
      </c>
      <c r="BL59" s="27">
        <f t="shared" si="72"/>
        <v>0</v>
      </c>
      <c r="BM59" s="27">
        <f t="shared" si="72"/>
        <v>0</v>
      </c>
      <c r="BN59" s="27">
        <f t="shared" si="72"/>
        <v>0</v>
      </c>
      <c r="BO59" s="27">
        <f t="shared" si="72"/>
        <v>0</v>
      </c>
      <c r="BP59" s="27">
        <f t="shared" si="72"/>
        <v>0</v>
      </c>
      <c r="BQ59" s="27"/>
      <c r="BR59" s="27"/>
      <c r="BS59" s="27">
        <f t="shared" ref="BS59:BS90" si="73">Z59-AW59</f>
        <v>0</v>
      </c>
      <c r="BT59" s="27">
        <f t="shared" ref="BT59:BT68" si="74">+AA59-AX59</f>
        <v>39826374</v>
      </c>
      <c r="BU59" s="29">
        <f t="shared" si="10"/>
        <v>0.39246537962962963</v>
      </c>
      <c r="BV59" s="27">
        <f t="shared" ref="BV59:BV90" si="75">SUM(BW59:CP59)</f>
        <v>42386261</v>
      </c>
      <c r="BW59" s="27"/>
      <c r="BX59" s="27"/>
      <c r="BY59" s="27"/>
      <c r="BZ59" s="27"/>
      <c r="CA59" s="27"/>
      <c r="CB59" s="27">
        <f>+'[1]JUNIO 2016'!$H$1742+'[1]JUNIO 2016'!$H$1748+'[1]JUNIO 2016'!$H$1749+'[1]JUNIO 2016'!$H$1752+'[1]JUNIO 2016'!$H$1753+'[1]JUNIO 2016'!$H$1757+'[1]JUNIO 2016'!$H$1758+'[1]JUNIO 2016'!$H$1759+'[1]JUNIO 2016'!$H$1760+'[1]JUNIO 2016'!$H$1761+'[1]JUNIO 2016'!$H$1765+'[1]JUNIO 2016'!$H$1766+'[1]JUNIO 2016'!$H$1767+'[1]JUNIO 2016'!$H$1768+'[1]JUNIO 2016'!$H$1769+'[1]JUNIO 2016'!$H$1770+'[1]JUNIO 2016'!$H$1772+'[1]JUNIO 2016'!$H$1773+'[1]JUNIO 2016'!$H$1774+'[1]JUNIO 2016'!$H$1775+'[1]JUNIO 2016'!$H$1776</f>
        <v>24212635</v>
      </c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>
        <f>+'[3]MAYO 2016'!$H$1509+'[3]MAYO 2016'!$H$1511+'[3]MAYO 2016'!$H$1519+'[3]MAYO 2016'!$H$1520+'[3]MAYO 2016'!$H$1523+'[3]MAYO 2016'!$H$1524+'[3]MAYO 2016'!$H$1525+'[3]MAYO 2016'!$H$1531+'[3]MAYO 2016'!$H$1532+'[3]MAYO 2016'!$H$1533+'[3]MAYO 2016'!$H$1540</f>
        <v>18173626</v>
      </c>
      <c r="CQ59" s="29">
        <f t="shared" ref="CQ59:CQ91" si="76">1-BU59</f>
        <v>0.60753462037037043</v>
      </c>
      <c r="CR59" s="27">
        <f t="shared" ref="CR59:CR90" si="77">SUM(CS59:DL59)</f>
        <v>65613739</v>
      </c>
      <c r="CS59" s="27">
        <f t="shared" ref="CS59:DB74" si="78">H59-BW59</f>
        <v>0</v>
      </c>
      <c r="CT59" s="27">
        <f t="shared" si="78"/>
        <v>0</v>
      </c>
      <c r="CU59" s="27">
        <f t="shared" si="78"/>
        <v>0</v>
      </c>
      <c r="CV59" s="27">
        <f t="shared" si="78"/>
        <v>0</v>
      </c>
      <c r="CW59" s="27">
        <f t="shared" si="78"/>
        <v>0</v>
      </c>
      <c r="CX59" s="27">
        <f t="shared" si="78"/>
        <v>25787365</v>
      </c>
      <c r="CY59" s="27">
        <f t="shared" si="78"/>
        <v>0</v>
      </c>
      <c r="CZ59" s="27">
        <f t="shared" ref="CZ59:DB68" si="79">+O59-CD59</f>
        <v>0</v>
      </c>
      <c r="DA59" s="27">
        <f t="shared" si="79"/>
        <v>0</v>
      </c>
      <c r="DB59" s="27">
        <f t="shared" si="79"/>
        <v>0</v>
      </c>
      <c r="DC59" s="27">
        <f t="shared" ref="DC59:DH89" si="80">R59-CG59</f>
        <v>0</v>
      </c>
      <c r="DD59" s="27">
        <f t="shared" si="80"/>
        <v>0</v>
      </c>
      <c r="DE59" s="27">
        <f t="shared" si="80"/>
        <v>0</v>
      </c>
      <c r="DF59" s="27">
        <f t="shared" ref="DF59:DH68" si="81">+U59-CJ59</f>
        <v>0</v>
      </c>
      <c r="DG59" s="27">
        <f t="shared" si="81"/>
        <v>0</v>
      </c>
      <c r="DH59" s="27">
        <f t="shared" si="81"/>
        <v>0</v>
      </c>
      <c r="DI59" s="27"/>
      <c r="DJ59" s="27">
        <f t="shared" ref="DJ59:DL68" si="82">+Y59-CN59</f>
        <v>0</v>
      </c>
      <c r="DK59" s="61">
        <f t="shared" si="82"/>
        <v>0</v>
      </c>
      <c r="DL59" s="27">
        <f t="shared" si="82"/>
        <v>39826374</v>
      </c>
      <c r="DN59" s="193"/>
      <c r="DO59" s="193"/>
      <c r="DP59" s="193"/>
      <c r="DQ59" s="193"/>
      <c r="DR59" s="193"/>
    </row>
    <row r="60" spans="1:123" ht="24" hidden="1" customHeight="1" x14ac:dyDescent="0.25">
      <c r="A60" s="227"/>
      <c r="B60" s="230"/>
      <c r="C60" s="23" t="s">
        <v>180</v>
      </c>
      <c r="D60" s="24" t="s">
        <v>181</v>
      </c>
      <c r="E60" s="25">
        <v>520</v>
      </c>
      <c r="F60" s="26" t="s">
        <v>182</v>
      </c>
      <c r="G60" s="27">
        <f t="shared" si="67"/>
        <v>2000000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>
        <v>2000000</v>
      </c>
      <c r="AC60" s="29">
        <f t="shared" si="1"/>
        <v>0.5</v>
      </c>
      <c r="AD60" s="27">
        <f t="shared" si="68"/>
        <v>1000000</v>
      </c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>
        <f>+'[4]ABRIL 2016'!$G$1362</f>
        <v>1000000</v>
      </c>
      <c r="AY60" s="29">
        <f t="shared" si="3"/>
        <v>0.5</v>
      </c>
      <c r="AZ60" s="27">
        <f t="shared" si="69"/>
        <v>1000000</v>
      </c>
      <c r="BA60" s="27">
        <f t="shared" si="70"/>
        <v>0</v>
      </c>
      <c r="BB60" s="27">
        <f t="shared" si="71"/>
        <v>0</v>
      </c>
      <c r="BC60" s="27">
        <f t="shared" si="71"/>
        <v>0</v>
      </c>
      <c r="BD60" s="27">
        <f t="shared" si="71"/>
        <v>0</v>
      </c>
      <c r="BE60" s="27">
        <f t="shared" si="72"/>
        <v>0</v>
      </c>
      <c r="BF60" s="27">
        <f t="shared" si="72"/>
        <v>0</v>
      </c>
      <c r="BG60" s="27">
        <f t="shared" si="72"/>
        <v>0</v>
      </c>
      <c r="BH60" s="27">
        <f t="shared" si="72"/>
        <v>0</v>
      </c>
      <c r="BI60" s="27">
        <f t="shared" si="72"/>
        <v>0</v>
      </c>
      <c r="BJ60" s="27">
        <f t="shared" si="72"/>
        <v>0</v>
      </c>
      <c r="BK60" s="27">
        <f t="shared" si="72"/>
        <v>0</v>
      </c>
      <c r="BL60" s="27">
        <f t="shared" si="72"/>
        <v>0</v>
      </c>
      <c r="BM60" s="27">
        <f t="shared" si="72"/>
        <v>0</v>
      </c>
      <c r="BN60" s="27">
        <f t="shared" si="72"/>
        <v>0</v>
      </c>
      <c r="BO60" s="27">
        <f t="shared" si="72"/>
        <v>0</v>
      </c>
      <c r="BP60" s="27">
        <f t="shared" si="72"/>
        <v>0</v>
      </c>
      <c r="BQ60" s="27"/>
      <c r="BR60" s="27"/>
      <c r="BS60" s="27">
        <f t="shared" si="73"/>
        <v>0</v>
      </c>
      <c r="BT60" s="27">
        <f t="shared" si="74"/>
        <v>1000000</v>
      </c>
      <c r="BU60" s="29">
        <f t="shared" si="10"/>
        <v>0.5</v>
      </c>
      <c r="BV60" s="27">
        <f t="shared" si="75"/>
        <v>1000000</v>
      </c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>
        <f>+'[4]ABRIL 2016'!$H$1359</f>
        <v>1000000</v>
      </c>
      <c r="CQ60" s="29">
        <f t="shared" si="76"/>
        <v>0.5</v>
      </c>
      <c r="CR60" s="27">
        <f t="shared" si="77"/>
        <v>1000000</v>
      </c>
      <c r="CS60" s="27">
        <f t="shared" si="78"/>
        <v>0</v>
      </c>
      <c r="CT60" s="27">
        <f t="shared" si="78"/>
        <v>0</v>
      </c>
      <c r="CU60" s="27">
        <f t="shared" si="78"/>
        <v>0</v>
      </c>
      <c r="CV60" s="27">
        <f t="shared" si="78"/>
        <v>0</v>
      </c>
      <c r="CW60" s="27">
        <f t="shared" si="78"/>
        <v>0</v>
      </c>
      <c r="CX60" s="27">
        <f t="shared" si="78"/>
        <v>0</v>
      </c>
      <c r="CY60" s="27">
        <f t="shared" si="78"/>
        <v>0</v>
      </c>
      <c r="CZ60" s="27">
        <f t="shared" si="79"/>
        <v>0</v>
      </c>
      <c r="DA60" s="27">
        <f t="shared" si="79"/>
        <v>0</v>
      </c>
      <c r="DB60" s="27">
        <f t="shared" si="79"/>
        <v>0</v>
      </c>
      <c r="DC60" s="27">
        <f t="shared" si="80"/>
        <v>0</v>
      </c>
      <c r="DD60" s="27">
        <f t="shared" si="80"/>
        <v>0</v>
      </c>
      <c r="DE60" s="27">
        <f t="shared" si="80"/>
        <v>0</v>
      </c>
      <c r="DF60" s="27">
        <f t="shared" si="81"/>
        <v>0</v>
      </c>
      <c r="DG60" s="27">
        <f t="shared" si="81"/>
        <v>0</v>
      </c>
      <c r="DH60" s="27">
        <f t="shared" si="81"/>
        <v>0</v>
      </c>
      <c r="DI60" s="27"/>
      <c r="DJ60" s="27">
        <f t="shared" si="82"/>
        <v>0</v>
      </c>
      <c r="DK60" s="61">
        <f t="shared" si="82"/>
        <v>0</v>
      </c>
      <c r="DL60" s="27">
        <f t="shared" si="82"/>
        <v>1000000</v>
      </c>
      <c r="DN60" s="193"/>
      <c r="DO60" s="193"/>
      <c r="DP60" s="193"/>
      <c r="DQ60" s="193"/>
      <c r="DR60" s="193"/>
    </row>
    <row r="61" spans="1:123" ht="33.75" hidden="1" customHeight="1" x14ac:dyDescent="0.25">
      <c r="A61" s="227"/>
      <c r="B61" s="231"/>
      <c r="C61" s="23" t="s">
        <v>183</v>
      </c>
      <c r="D61" s="24" t="s">
        <v>184</v>
      </c>
      <c r="E61" s="25">
        <v>520</v>
      </c>
      <c r="F61" s="26" t="s">
        <v>75</v>
      </c>
      <c r="G61" s="27">
        <f t="shared" si="67"/>
        <v>3000000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>
        <v>3000000</v>
      </c>
      <c r="AC61" s="29">
        <f t="shared" si="1"/>
        <v>1</v>
      </c>
      <c r="AD61" s="27">
        <f t="shared" si="68"/>
        <v>3000000</v>
      </c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>
        <f>+'[1]JUNIO 2016'!$G$1784</f>
        <v>3000000</v>
      </c>
      <c r="AY61" s="29">
        <f t="shared" si="3"/>
        <v>0</v>
      </c>
      <c r="AZ61" s="27">
        <f t="shared" si="69"/>
        <v>0</v>
      </c>
      <c r="BA61" s="27">
        <f t="shared" si="70"/>
        <v>0</v>
      </c>
      <c r="BB61" s="27">
        <f t="shared" si="71"/>
        <v>0</v>
      </c>
      <c r="BC61" s="27">
        <f t="shared" si="71"/>
        <v>0</v>
      </c>
      <c r="BD61" s="27">
        <f t="shared" si="71"/>
        <v>0</v>
      </c>
      <c r="BE61" s="27">
        <f t="shared" si="72"/>
        <v>0</v>
      </c>
      <c r="BF61" s="27">
        <f t="shared" si="72"/>
        <v>0</v>
      </c>
      <c r="BG61" s="27">
        <f t="shared" si="72"/>
        <v>0</v>
      </c>
      <c r="BH61" s="27">
        <f t="shared" si="72"/>
        <v>0</v>
      </c>
      <c r="BI61" s="27">
        <f t="shared" si="72"/>
        <v>0</v>
      </c>
      <c r="BJ61" s="27">
        <f t="shared" si="72"/>
        <v>0</v>
      </c>
      <c r="BK61" s="27">
        <f t="shared" si="72"/>
        <v>0</v>
      </c>
      <c r="BL61" s="27">
        <f t="shared" si="72"/>
        <v>0</v>
      </c>
      <c r="BM61" s="27">
        <f t="shared" si="72"/>
        <v>0</v>
      </c>
      <c r="BN61" s="27">
        <f t="shared" si="72"/>
        <v>0</v>
      </c>
      <c r="BO61" s="27">
        <f t="shared" si="72"/>
        <v>0</v>
      </c>
      <c r="BP61" s="27">
        <f t="shared" si="72"/>
        <v>0</v>
      </c>
      <c r="BQ61" s="27"/>
      <c r="BR61" s="27"/>
      <c r="BS61" s="27">
        <f t="shared" si="73"/>
        <v>0</v>
      </c>
      <c r="BT61" s="27">
        <f t="shared" si="74"/>
        <v>0</v>
      </c>
      <c r="BU61" s="29">
        <f t="shared" si="10"/>
        <v>1</v>
      </c>
      <c r="BV61" s="27">
        <f t="shared" si="75"/>
        <v>3000000</v>
      </c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>
        <f>+'[1]JUNIO 2016'!$H$1784</f>
        <v>3000000</v>
      </c>
      <c r="CQ61" s="29">
        <f t="shared" si="76"/>
        <v>0</v>
      </c>
      <c r="CR61" s="27">
        <f t="shared" si="77"/>
        <v>0</v>
      </c>
      <c r="CS61" s="27">
        <f t="shared" si="78"/>
        <v>0</v>
      </c>
      <c r="CT61" s="27">
        <f t="shared" si="78"/>
        <v>0</v>
      </c>
      <c r="CU61" s="27">
        <f t="shared" si="78"/>
        <v>0</v>
      </c>
      <c r="CV61" s="27">
        <f t="shared" si="78"/>
        <v>0</v>
      </c>
      <c r="CW61" s="27">
        <f t="shared" si="78"/>
        <v>0</v>
      </c>
      <c r="CX61" s="27">
        <f t="shared" si="78"/>
        <v>0</v>
      </c>
      <c r="CY61" s="27">
        <f t="shared" si="78"/>
        <v>0</v>
      </c>
      <c r="CZ61" s="27">
        <f t="shared" si="79"/>
        <v>0</v>
      </c>
      <c r="DA61" s="27">
        <f t="shared" si="79"/>
        <v>0</v>
      </c>
      <c r="DB61" s="27">
        <f t="shared" si="79"/>
        <v>0</v>
      </c>
      <c r="DC61" s="27">
        <f t="shared" si="80"/>
        <v>0</v>
      </c>
      <c r="DD61" s="27">
        <f t="shared" si="80"/>
        <v>0</v>
      </c>
      <c r="DE61" s="27">
        <f t="shared" si="80"/>
        <v>0</v>
      </c>
      <c r="DF61" s="27">
        <f t="shared" si="81"/>
        <v>0</v>
      </c>
      <c r="DG61" s="27">
        <f t="shared" si="81"/>
        <v>0</v>
      </c>
      <c r="DH61" s="27">
        <f t="shared" si="81"/>
        <v>0</v>
      </c>
      <c r="DI61" s="27"/>
      <c r="DJ61" s="27">
        <f t="shared" si="82"/>
        <v>0</v>
      </c>
      <c r="DK61" s="61">
        <f t="shared" si="82"/>
        <v>0</v>
      </c>
      <c r="DL61" s="27">
        <f t="shared" si="82"/>
        <v>0</v>
      </c>
      <c r="DN61" s="193"/>
      <c r="DO61" s="193"/>
      <c r="DP61" s="193"/>
      <c r="DQ61" s="193"/>
      <c r="DR61" s="193"/>
    </row>
    <row r="62" spans="1:123" ht="23.25" hidden="1" customHeight="1" x14ac:dyDescent="0.25">
      <c r="A62" s="227"/>
      <c r="B62" s="70" t="s">
        <v>185</v>
      </c>
      <c r="C62" s="23" t="s">
        <v>186</v>
      </c>
      <c r="D62" s="24" t="s">
        <v>187</v>
      </c>
      <c r="E62" s="25">
        <v>520</v>
      </c>
      <c r="F62" s="26" t="s">
        <v>89</v>
      </c>
      <c r="G62" s="27">
        <f t="shared" si="67"/>
        <v>20000000</v>
      </c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>
        <v>20000000</v>
      </c>
      <c r="U62" s="27"/>
      <c r="V62" s="27"/>
      <c r="W62" s="27"/>
      <c r="X62" s="27"/>
      <c r="Y62" s="27"/>
      <c r="Z62" s="27"/>
      <c r="AA62" s="27"/>
      <c r="AC62" s="29">
        <f t="shared" si="1"/>
        <v>0.84190584999999996</v>
      </c>
      <c r="AD62" s="27">
        <f t="shared" si="68"/>
        <v>16838117</v>
      </c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>
        <f>+'[3]MAYO 2016'!$W$1566</f>
        <v>16838117</v>
      </c>
      <c r="AR62" s="27"/>
      <c r="AS62" s="27"/>
      <c r="AT62" s="27"/>
      <c r="AU62" s="27"/>
      <c r="AV62" s="27"/>
      <c r="AW62" s="27"/>
      <c r="AX62" s="27"/>
      <c r="AY62" s="29">
        <f t="shared" si="3"/>
        <v>0.15809415000000004</v>
      </c>
      <c r="AZ62" s="27">
        <f t="shared" si="69"/>
        <v>3161883</v>
      </c>
      <c r="BA62" s="27">
        <f t="shared" si="70"/>
        <v>0</v>
      </c>
      <c r="BB62" s="27">
        <f t="shared" si="71"/>
        <v>0</v>
      </c>
      <c r="BC62" s="27">
        <f t="shared" si="71"/>
        <v>0</v>
      </c>
      <c r="BD62" s="27">
        <f t="shared" si="71"/>
        <v>0</v>
      </c>
      <c r="BE62" s="27">
        <f t="shared" si="72"/>
        <v>0</v>
      </c>
      <c r="BF62" s="27">
        <f t="shared" si="72"/>
        <v>0</v>
      </c>
      <c r="BG62" s="27">
        <f t="shared" si="72"/>
        <v>0</v>
      </c>
      <c r="BH62" s="27">
        <f t="shared" si="72"/>
        <v>0</v>
      </c>
      <c r="BI62" s="27">
        <f t="shared" si="72"/>
        <v>0</v>
      </c>
      <c r="BJ62" s="27">
        <f t="shared" si="72"/>
        <v>0</v>
      </c>
      <c r="BK62" s="27">
        <f t="shared" si="72"/>
        <v>0</v>
      </c>
      <c r="BL62" s="27">
        <f t="shared" si="72"/>
        <v>0</v>
      </c>
      <c r="BM62" s="27">
        <f t="shared" si="72"/>
        <v>3161883</v>
      </c>
      <c r="BN62" s="27">
        <f t="shared" si="72"/>
        <v>0</v>
      </c>
      <c r="BO62" s="27">
        <f t="shared" si="72"/>
        <v>0</v>
      </c>
      <c r="BP62" s="27">
        <f t="shared" si="72"/>
        <v>0</v>
      </c>
      <c r="BQ62" s="27"/>
      <c r="BR62" s="27">
        <f>+Y62-AV62</f>
        <v>0</v>
      </c>
      <c r="BS62" s="27">
        <f t="shared" si="73"/>
        <v>0</v>
      </c>
      <c r="BT62" s="27">
        <f t="shared" si="74"/>
        <v>0</v>
      </c>
      <c r="BU62" s="29">
        <f t="shared" si="10"/>
        <v>0.8307021</v>
      </c>
      <c r="BV62" s="27">
        <f t="shared" si="75"/>
        <v>16614042</v>
      </c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>
        <f>+'[1]JUNIO 2016'!$H$1796</f>
        <v>16614042</v>
      </c>
      <c r="CJ62" s="27"/>
      <c r="CK62" s="27"/>
      <c r="CL62" s="27"/>
      <c r="CM62" s="27"/>
      <c r="CN62" s="27"/>
      <c r="CO62" s="27"/>
      <c r="CP62" s="27"/>
      <c r="CQ62" s="29">
        <f t="shared" si="76"/>
        <v>0.1692979</v>
      </c>
      <c r="CR62" s="27">
        <f t="shared" si="77"/>
        <v>3385958</v>
      </c>
      <c r="CS62" s="27">
        <f t="shared" si="78"/>
        <v>0</v>
      </c>
      <c r="CT62" s="27">
        <f t="shared" si="78"/>
        <v>0</v>
      </c>
      <c r="CU62" s="27">
        <f t="shared" si="78"/>
        <v>0</v>
      </c>
      <c r="CV62" s="27">
        <f t="shared" si="78"/>
        <v>0</v>
      </c>
      <c r="CW62" s="27">
        <f t="shared" si="78"/>
        <v>0</v>
      </c>
      <c r="CX62" s="27">
        <f t="shared" si="78"/>
        <v>0</v>
      </c>
      <c r="CY62" s="27">
        <f t="shared" si="78"/>
        <v>0</v>
      </c>
      <c r="CZ62" s="27">
        <f t="shared" si="79"/>
        <v>0</v>
      </c>
      <c r="DA62" s="27">
        <f t="shared" si="79"/>
        <v>0</v>
      </c>
      <c r="DB62" s="27">
        <f t="shared" si="79"/>
        <v>0</v>
      </c>
      <c r="DC62" s="27">
        <f t="shared" si="80"/>
        <v>0</v>
      </c>
      <c r="DD62" s="27">
        <f t="shared" si="80"/>
        <v>0</v>
      </c>
      <c r="DE62" s="27">
        <f t="shared" si="80"/>
        <v>3385958</v>
      </c>
      <c r="DF62" s="27">
        <f t="shared" si="81"/>
        <v>0</v>
      </c>
      <c r="DG62" s="27">
        <f t="shared" si="81"/>
        <v>0</v>
      </c>
      <c r="DH62" s="27">
        <f t="shared" si="81"/>
        <v>0</v>
      </c>
      <c r="DI62" s="27"/>
      <c r="DJ62" s="27">
        <f t="shared" si="82"/>
        <v>0</v>
      </c>
      <c r="DK62" s="61">
        <f t="shared" si="82"/>
        <v>0</v>
      </c>
      <c r="DL62" s="27">
        <f t="shared" si="82"/>
        <v>0</v>
      </c>
      <c r="DN62" s="193"/>
      <c r="DO62" s="193"/>
      <c r="DP62" s="193"/>
      <c r="DQ62" s="193"/>
      <c r="DR62" s="193"/>
    </row>
    <row r="63" spans="1:123" ht="21" hidden="1" customHeight="1" x14ac:dyDescent="0.25">
      <c r="A63" s="227"/>
      <c r="B63" s="229" t="s">
        <v>188</v>
      </c>
      <c r="C63" s="23" t="s">
        <v>189</v>
      </c>
      <c r="D63" s="24" t="s">
        <v>190</v>
      </c>
      <c r="E63" s="25">
        <v>520</v>
      </c>
      <c r="F63" s="26" t="s">
        <v>89</v>
      </c>
      <c r="G63" s="27">
        <f t="shared" si="67"/>
        <v>95000000</v>
      </c>
      <c r="H63" s="27"/>
      <c r="I63" s="39"/>
      <c r="J63" s="39"/>
      <c r="K63" s="39"/>
      <c r="L63" s="27">
        <f>228450721-133450721</f>
        <v>95000000</v>
      </c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C63" s="29">
        <f t="shared" si="1"/>
        <v>0.49761515789473681</v>
      </c>
      <c r="AD63" s="27">
        <f t="shared" si="68"/>
        <v>47273440</v>
      </c>
      <c r="AE63" s="27"/>
      <c r="AF63" s="27"/>
      <c r="AG63" s="27"/>
      <c r="AH63" s="27"/>
      <c r="AI63" s="27">
        <f>+'[1]JUNIO 2016'!$O$1825</f>
        <v>47273440</v>
      </c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9">
        <f t="shared" si="3"/>
        <v>0.50238484210526324</v>
      </c>
      <c r="AZ63" s="27">
        <f t="shared" si="69"/>
        <v>47726560</v>
      </c>
      <c r="BA63" s="27">
        <f t="shared" si="70"/>
        <v>0</v>
      </c>
      <c r="BB63" s="27">
        <f t="shared" si="71"/>
        <v>0</v>
      </c>
      <c r="BC63" s="27">
        <f t="shared" si="71"/>
        <v>0</v>
      </c>
      <c r="BD63" s="27">
        <f t="shared" si="71"/>
        <v>0</v>
      </c>
      <c r="BE63" s="27">
        <f t="shared" si="72"/>
        <v>47726560</v>
      </c>
      <c r="BF63" s="27">
        <f t="shared" si="72"/>
        <v>0</v>
      </c>
      <c r="BG63" s="27">
        <f t="shared" si="72"/>
        <v>0</v>
      </c>
      <c r="BH63" s="27">
        <f>O63-AL63</f>
        <v>0</v>
      </c>
      <c r="BI63" s="27">
        <f t="shared" si="72"/>
        <v>0</v>
      </c>
      <c r="BJ63" s="27">
        <f t="shared" si="72"/>
        <v>0</v>
      </c>
      <c r="BK63" s="27">
        <f t="shared" si="72"/>
        <v>0</v>
      </c>
      <c r="BL63" s="27">
        <f t="shared" si="72"/>
        <v>0</v>
      </c>
      <c r="BM63" s="27">
        <f t="shared" si="72"/>
        <v>0</v>
      </c>
      <c r="BN63" s="27">
        <f>U63-AR63</f>
        <v>0</v>
      </c>
      <c r="BO63" s="27">
        <f t="shared" si="72"/>
        <v>0</v>
      </c>
      <c r="BP63" s="27">
        <f t="shared" si="72"/>
        <v>0</v>
      </c>
      <c r="BQ63" s="27"/>
      <c r="BR63" s="27"/>
      <c r="BS63" s="27">
        <f t="shared" si="73"/>
        <v>0</v>
      </c>
      <c r="BT63" s="27">
        <f t="shared" si="74"/>
        <v>0</v>
      </c>
      <c r="BU63" s="29">
        <f t="shared" si="10"/>
        <v>8.4210526315789472E-2</v>
      </c>
      <c r="BV63" s="27">
        <f t="shared" si="75"/>
        <v>8000000</v>
      </c>
      <c r="BW63" s="27"/>
      <c r="BX63" s="27"/>
      <c r="BY63" s="27"/>
      <c r="BZ63" s="27"/>
      <c r="CA63" s="27">
        <f>+'[3]MAYO 2016'!$H$1591</f>
        <v>8000000</v>
      </c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9">
        <f t="shared" si="76"/>
        <v>0.91578947368421049</v>
      </c>
      <c r="CR63" s="27">
        <f t="shared" si="77"/>
        <v>87000000</v>
      </c>
      <c r="CS63" s="27">
        <f t="shared" si="78"/>
        <v>0</v>
      </c>
      <c r="CT63" s="27">
        <f t="shared" si="78"/>
        <v>0</v>
      </c>
      <c r="CU63" s="27">
        <f t="shared" si="78"/>
        <v>0</v>
      </c>
      <c r="CV63" s="27">
        <f t="shared" si="78"/>
        <v>0</v>
      </c>
      <c r="CW63" s="27">
        <f t="shared" si="78"/>
        <v>87000000</v>
      </c>
      <c r="CX63" s="27">
        <f t="shared" si="78"/>
        <v>0</v>
      </c>
      <c r="CY63" s="27">
        <f t="shared" si="78"/>
        <v>0</v>
      </c>
      <c r="CZ63" s="27">
        <f t="shared" si="79"/>
        <v>0</v>
      </c>
      <c r="DA63" s="27">
        <f t="shared" si="79"/>
        <v>0</v>
      </c>
      <c r="DB63" s="27">
        <f t="shared" si="79"/>
        <v>0</v>
      </c>
      <c r="DC63" s="27">
        <f t="shared" si="80"/>
        <v>0</v>
      </c>
      <c r="DD63" s="27">
        <f t="shared" si="80"/>
        <v>0</v>
      </c>
      <c r="DE63" s="27">
        <f t="shared" si="80"/>
        <v>0</v>
      </c>
      <c r="DF63" s="27">
        <f t="shared" si="81"/>
        <v>0</v>
      </c>
      <c r="DG63" s="27">
        <f t="shared" si="81"/>
        <v>0</v>
      </c>
      <c r="DH63" s="27">
        <f t="shared" si="81"/>
        <v>0</v>
      </c>
      <c r="DI63" s="27"/>
      <c r="DJ63" s="27">
        <f t="shared" si="82"/>
        <v>0</v>
      </c>
      <c r="DK63" s="61">
        <f t="shared" si="82"/>
        <v>0</v>
      </c>
      <c r="DL63" s="27">
        <f t="shared" si="82"/>
        <v>0</v>
      </c>
      <c r="DN63" s="193"/>
      <c r="DO63" s="193"/>
      <c r="DP63" s="193"/>
      <c r="DQ63" s="193"/>
      <c r="DR63" s="193"/>
    </row>
    <row r="64" spans="1:123" ht="21" hidden="1" customHeight="1" x14ac:dyDescent="0.25">
      <c r="A64" s="227"/>
      <c r="B64" s="230"/>
      <c r="C64" s="23" t="s">
        <v>191</v>
      </c>
      <c r="D64" s="24" t="s">
        <v>192</v>
      </c>
      <c r="E64" s="25">
        <v>520</v>
      </c>
      <c r="F64" s="26" t="s">
        <v>89</v>
      </c>
      <c r="G64" s="27">
        <f t="shared" si="67"/>
        <v>361901442</v>
      </c>
      <c r="H64" s="52"/>
      <c r="I64" s="52"/>
      <c r="J64" s="39"/>
      <c r="K64" s="39"/>
      <c r="L64" s="27">
        <f>28450721+133450721</f>
        <v>161901442</v>
      </c>
      <c r="M64" s="27"/>
      <c r="N64" s="27"/>
      <c r="O64" s="27"/>
      <c r="P64" s="27"/>
      <c r="Q64" s="27"/>
      <c r="R64" s="27"/>
      <c r="S64" s="27">
        <v>200000000</v>
      </c>
      <c r="T64" s="27"/>
      <c r="U64" s="27"/>
      <c r="V64" s="27"/>
      <c r="W64" s="27"/>
      <c r="X64" s="27"/>
      <c r="Y64" s="27"/>
      <c r="Z64" s="27"/>
      <c r="AA64" s="27"/>
      <c r="AC64" s="29">
        <f t="shared" si="1"/>
        <v>0.75012186328895591</v>
      </c>
      <c r="AD64" s="27">
        <f t="shared" si="68"/>
        <v>271470184</v>
      </c>
      <c r="AE64" s="27"/>
      <c r="AF64" s="27"/>
      <c r="AG64" s="27"/>
      <c r="AH64" s="27"/>
      <c r="AI64" s="27">
        <f>+'[1]JUNIO 2016'!$O$1834</f>
        <v>75081529</v>
      </c>
      <c r="AJ64" s="27"/>
      <c r="AK64" s="27"/>
      <c r="AL64" s="27"/>
      <c r="AM64" s="27"/>
      <c r="AN64" s="27"/>
      <c r="AO64" s="27"/>
      <c r="AP64" s="27">
        <f>+'[1]JUNIO 2016'!$V$1834</f>
        <v>196388655</v>
      </c>
      <c r="AQ64" s="27"/>
      <c r="AR64" s="27"/>
      <c r="AS64" s="27"/>
      <c r="AT64" s="27"/>
      <c r="AU64" s="27"/>
      <c r="AV64" s="27"/>
      <c r="AW64" s="27"/>
      <c r="AX64" s="27"/>
      <c r="AY64" s="29">
        <f t="shared" si="3"/>
        <v>0.24987813671104409</v>
      </c>
      <c r="AZ64" s="27">
        <f t="shared" si="69"/>
        <v>90431258</v>
      </c>
      <c r="BA64" s="27">
        <f t="shared" si="70"/>
        <v>0</v>
      </c>
      <c r="BB64" s="27">
        <f t="shared" si="71"/>
        <v>0</v>
      </c>
      <c r="BC64" s="27">
        <f t="shared" si="71"/>
        <v>0</v>
      </c>
      <c r="BD64" s="27">
        <f t="shared" si="71"/>
        <v>0</v>
      </c>
      <c r="BE64" s="27">
        <f t="shared" si="72"/>
        <v>86819913</v>
      </c>
      <c r="BF64" s="27">
        <f t="shared" si="72"/>
        <v>0</v>
      </c>
      <c r="BG64" s="27">
        <f t="shared" si="72"/>
        <v>0</v>
      </c>
      <c r="BH64" s="27">
        <f>O64-AL64</f>
        <v>0</v>
      </c>
      <c r="BI64" s="27">
        <f t="shared" si="72"/>
        <v>0</v>
      </c>
      <c r="BJ64" s="27">
        <f t="shared" si="72"/>
        <v>0</v>
      </c>
      <c r="BK64" s="27">
        <f t="shared" si="72"/>
        <v>0</v>
      </c>
      <c r="BL64" s="27">
        <f t="shared" si="72"/>
        <v>3611345</v>
      </c>
      <c r="BM64" s="27">
        <f t="shared" si="72"/>
        <v>0</v>
      </c>
      <c r="BN64" s="27">
        <f>U64-AR64</f>
        <v>0</v>
      </c>
      <c r="BO64" s="27">
        <f t="shared" si="72"/>
        <v>0</v>
      </c>
      <c r="BP64" s="27">
        <f t="shared" si="72"/>
        <v>0</v>
      </c>
      <c r="BQ64" s="27"/>
      <c r="BR64" s="27"/>
      <c r="BS64" s="27">
        <f t="shared" si="73"/>
        <v>0</v>
      </c>
      <c r="BT64" s="27">
        <f t="shared" si="74"/>
        <v>0</v>
      </c>
      <c r="BU64" s="29">
        <f t="shared" si="10"/>
        <v>0.64049654159709035</v>
      </c>
      <c r="BV64" s="27">
        <f t="shared" si="75"/>
        <v>231796622</v>
      </c>
      <c r="BW64" s="27"/>
      <c r="BX64" s="27"/>
      <c r="BY64" s="27"/>
      <c r="BZ64" s="27"/>
      <c r="CA64" s="27">
        <f>+'[1]JUNIO 2016'!$H$1835+'[1]JUNIO 2016'!$H$1864+'[1]JUNIO 2016'!$H$1866+'[1]JUNIO 2016'!$H$1867+'[1]JUNIO 2016'!$H$1868+'[1]JUNIO 2016'!$H$1869+'[1]JUNIO 2016'!$H$1870+'[1]JUNIO 2016'!$H$1873+'[1]JUNIO 2016'!$H$1874+'[1]JUNIO 2016'!$H$1875+'[1]JUNIO 2016'!$H$1876+'[1]JUNIO 2016'!$H$1877+'[1]JUNIO 2016'!$H$1878+'[1]JUNIO 2016'!$H$1879+'[1]JUNIO 2016'!$H$1881+'[1]JUNIO 2016'!$H$1886+'[1]JUNIO 2016'!$H$1887+'[1]JUNIO 2016'!$H$1888+'[1]JUNIO 2016'!$H$1912+'[1]JUNIO 2016'!$H$1913</f>
        <v>68913700</v>
      </c>
      <c r="CB64" s="27"/>
      <c r="CC64" s="27"/>
      <c r="CD64" s="27"/>
      <c r="CE64" s="27"/>
      <c r="CF64" s="27"/>
      <c r="CG64" s="27"/>
      <c r="CH64" s="27">
        <f>+'[1]JUNIO 2016'!$H$1845+'[1]JUNIO 2016'!$H$1856+'[1]JUNIO 2016'!$H$1882+'[1]JUNIO 2016'!$H$1885+'[1]JUNIO 2016'!$H$1901+'[1]JUNIO 2016'!$H$1902+'[1]JUNIO 2016'!$H$1906</f>
        <v>162882922</v>
      </c>
      <c r="CI64" s="27"/>
      <c r="CJ64" s="27"/>
      <c r="CK64" s="27"/>
      <c r="CL64" s="27"/>
      <c r="CM64" s="27"/>
      <c r="CN64" s="27"/>
      <c r="CO64" s="27"/>
      <c r="CP64" s="27"/>
      <c r="CQ64" s="29">
        <f t="shared" si="76"/>
        <v>0.35950345840290965</v>
      </c>
      <c r="CR64" s="27">
        <f t="shared" si="77"/>
        <v>130104820</v>
      </c>
      <c r="CS64" s="27">
        <f t="shared" si="78"/>
        <v>0</v>
      </c>
      <c r="CT64" s="27">
        <f t="shared" si="78"/>
        <v>0</v>
      </c>
      <c r="CU64" s="27">
        <f t="shared" si="78"/>
        <v>0</v>
      </c>
      <c r="CV64" s="27">
        <f t="shared" si="78"/>
        <v>0</v>
      </c>
      <c r="CW64" s="27">
        <f t="shared" si="78"/>
        <v>92987742</v>
      </c>
      <c r="CX64" s="27">
        <f t="shared" si="78"/>
        <v>0</v>
      </c>
      <c r="CY64" s="27">
        <f t="shared" si="78"/>
        <v>0</v>
      </c>
      <c r="CZ64" s="27">
        <f t="shared" si="79"/>
        <v>0</v>
      </c>
      <c r="DA64" s="27">
        <f t="shared" si="79"/>
        <v>0</v>
      </c>
      <c r="DB64" s="27">
        <f t="shared" si="79"/>
        <v>0</v>
      </c>
      <c r="DC64" s="27">
        <f t="shared" si="80"/>
        <v>0</v>
      </c>
      <c r="DD64" s="27">
        <f t="shared" si="80"/>
        <v>37117078</v>
      </c>
      <c r="DE64" s="27">
        <f t="shared" si="80"/>
        <v>0</v>
      </c>
      <c r="DF64" s="27">
        <f t="shared" si="81"/>
        <v>0</v>
      </c>
      <c r="DG64" s="27">
        <f t="shared" si="81"/>
        <v>0</v>
      </c>
      <c r="DH64" s="27">
        <f t="shared" si="81"/>
        <v>0</v>
      </c>
      <c r="DI64" s="27"/>
      <c r="DJ64" s="27">
        <f t="shared" si="82"/>
        <v>0</v>
      </c>
      <c r="DK64" s="61">
        <f t="shared" si="82"/>
        <v>0</v>
      </c>
      <c r="DL64" s="27">
        <f t="shared" si="82"/>
        <v>0</v>
      </c>
      <c r="DN64" s="193"/>
      <c r="DO64" s="193"/>
      <c r="DP64" s="193"/>
      <c r="DQ64" s="193"/>
      <c r="DR64" s="193"/>
    </row>
    <row r="65" spans="1:122" ht="30.75" hidden="1" customHeight="1" x14ac:dyDescent="0.25">
      <c r="A65" s="227"/>
      <c r="B65" s="230"/>
      <c r="C65" s="23" t="s">
        <v>193</v>
      </c>
      <c r="D65" s="24" t="s">
        <v>194</v>
      </c>
      <c r="E65" s="25">
        <v>520</v>
      </c>
      <c r="F65" s="26" t="s">
        <v>195</v>
      </c>
      <c r="G65" s="27">
        <f t="shared" si="67"/>
        <v>11000000</v>
      </c>
      <c r="H65" s="27"/>
      <c r="I65" s="39"/>
      <c r="J65" s="39"/>
      <c r="K65" s="39"/>
      <c r="L65" s="39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>
        <f>8000000+3000000</f>
        <v>11000000</v>
      </c>
      <c r="AC65" s="29">
        <f t="shared" si="1"/>
        <v>0.72727272727272729</v>
      </c>
      <c r="AD65" s="27">
        <f t="shared" si="68"/>
        <v>8000000</v>
      </c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>
        <f>+'[1]JUNIO 2016'!$AG$1918</f>
        <v>8000000</v>
      </c>
      <c r="AY65" s="29">
        <f t="shared" si="3"/>
        <v>0.27272727272727271</v>
      </c>
      <c r="AZ65" s="27">
        <f t="shared" si="69"/>
        <v>3000000</v>
      </c>
      <c r="BA65" s="27">
        <f t="shared" si="70"/>
        <v>0</v>
      </c>
      <c r="BB65" s="27">
        <f t="shared" si="71"/>
        <v>0</v>
      </c>
      <c r="BC65" s="27">
        <f t="shared" si="71"/>
        <v>0</v>
      </c>
      <c r="BD65" s="27">
        <f t="shared" si="71"/>
        <v>0</v>
      </c>
      <c r="BE65" s="27">
        <f t="shared" si="72"/>
        <v>0</v>
      </c>
      <c r="BF65" s="27">
        <f t="shared" si="72"/>
        <v>0</v>
      </c>
      <c r="BG65" s="27">
        <f t="shared" si="72"/>
        <v>0</v>
      </c>
      <c r="BH65" s="27">
        <f>O65-AL65</f>
        <v>0</v>
      </c>
      <c r="BI65" s="27">
        <f t="shared" si="72"/>
        <v>0</v>
      </c>
      <c r="BJ65" s="27">
        <f t="shared" si="72"/>
        <v>0</v>
      </c>
      <c r="BK65" s="27">
        <f t="shared" si="72"/>
        <v>0</v>
      </c>
      <c r="BL65" s="27">
        <f t="shared" si="72"/>
        <v>0</v>
      </c>
      <c r="BM65" s="27">
        <f t="shared" si="72"/>
        <v>0</v>
      </c>
      <c r="BN65" s="27">
        <f>U65-AR65</f>
        <v>0</v>
      </c>
      <c r="BO65" s="27">
        <f t="shared" si="72"/>
        <v>0</v>
      </c>
      <c r="BP65" s="27">
        <f t="shared" si="72"/>
        <v>0</v>
      </c>
      <c r="BQ65" s="27"/>
      <c r="BR65" s="27"/>
      <c r="BS65" s="27">
        <f t="shared" si="73"/>
        <v>0</v>
      </c>
      <c r="BT65" s="27">
        <f t="shared" si="74"/>
        <v>3000000</v>
      </c>
      <c r="BU65" s="29">
        <f t="shared" si="10"/>
        <v>0.46963209090909092</v>
      </c>
      <c r="BV65" s="27">
        <f t="shared" si="75"/>
        <v>5165953</v>
      </c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>
        <f>+'[1]JUNIO 2016'!$H$1916</f>
        <v>5165953</v>
      </c>
      <c r="CQ65" s="29">
        <f t="shared" si="76"/>
        <v>0.53036790909090903</v>
      </c>
      <c r="CR65" s="27">
        <f t="shared" si="77"/>
        <v>5834047</v>
      </c>
      <c r="CS65" s="27">
        <f t="shared" si="78"/>
        <v>0</v>
      </c>
      <c r="CT65" s="27">
        <f t="shared" si="78"/>
        <v>0</v>
      </c>
      <c r="CU65" s="27">
        <f t="shared" si="78"/>
        <v>0</v>
      </c>
      <c r="CV65" s="27">
        <f t="shared" si="78"/>
        <v>0</v>
      </c>
      <c r="CW65" s="27">
        <f t="shared" si="78"/>
        <v>0</v>
      </c>
      <c r="CX65" s="27">
        <f t="shared" si="78"/>
        <v>0</v>
      </c>
      <c r="CY65" s="27">
        <f t="shared" si="78"/>
        <v>0</v>
      </c>
      <c r="CZ65" s="27">
        <f t="shared" si="79"/>
        <v>0</v>
      </c>
      <c r="DA65" s="27">
        <f t="shared" si="79"/>
        <v>0</v>
      </c>
      <c r="DB65" s="27">
        <f t="shared" si="79"/>
        <v>0</v>
      </c>
      <c r="DC65" s="27">
        <f t="shared" si="80"/>
        <v>0</v>
      </c>
      <c r="DD65" s="27">
        <f t="shared" si="80"/>
        <v>0</v>
      </c>
      <c r="DE65" s="27">
        <f t="shared" si="80"/>
        <v>0</v>
      </c>
      <c r="DF65" s="27">
        <f t="shared" si="81"/>
        <v>0</v>
      </c>
      <c r="DG65" s="27">
        <f t="shared" si="81"/>
        <v>0</v>
      </c>
      <c r="DH65" s="27">
        <f t="shared" si="81"/>
        <v>0</v>
      </c>
      <c r="DI65" s="27"/>
      <c r="DJ65" s="27">
        <f t="shared" si="82"/>
        <v>0</v>
      </c>
      <c r="DK65" s="61">
        <f t="shared" si="82"/>
        <v>0</v>
      </c>
      <c r="DL65" s="27">
        <f t="shared" si="82"/>
        <v>5834047</v>
      </c>
      <c r="DN65" s="193"/>
      <c r="DO65" s="193"/>
      <c r="DP65" s="193"/>
      <c r="DQ65" s="193"/>
      <c r="DR65" s="193"/>
    </row>
    <row r="66" spans="1:122" ht="20.25" hidden="1" customHeight="1" x14ac:dyDescent="0.25">
      <c r="A66" s="227"/>
      <c r="B66" s="230"/>
      <c r="C66" s="23" t="s">
        <v>196</v>
      </c>
      <c r="D66" s="24" t="s">
        <v>197</v>
      </c>
      <c r="E66" s="25">
        <v>520</v>
      </c>
      <c r="F66" s="26" t="s">
        <v>198</v>
      </c>
      <c r="G66" s="27">
        <f t="shared" si="67"/>
        <v>5000000</v>
      </c>
      <c r="H66" s="27"/>
      <c r="I66" s="39"/>
      <c r="J66" s="39"/>
      <c r="K66" s="39"/>
      <c r="L66" s="39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>
        <v>5000000</v>
      </c>
      <c r="AC66" s="29">
        <f t="shared" si="1"/>
        <v>1</v>
      </c>
      <c r="AD66" s="27">
        <f t="shared" si="68"/>
        <v>5000000</v>
      </c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>
        <f>+'[3]MAYO 2016'!$AG$1678</f>
        <v>5000000</v>
      </c>
      <c r="AY66" s="29">
        <f t="shared" si="3"/>
        <v>0</v>
      </c>
      <c r="AZ66" s="27">
        <f t="shared" si="69"/>
        <v>0</v>
      </c>
      <c r="BA66" s="27">
        <f t="shared" si="70"/>
        <v>0</v>
      </c>
      <c r="BB66" s="27">
        <f t="shared" si="71"/>
        <v>0</v>
      </c>
      <c r="BC66" s="27">
        <f t="shared" si="71"/>
        <v>0</v>
      </c>
      <c r="BD66" s="27">
        <f t="shared" si="71"/>
        <v>0</v>
      </c>
      <c r="BE66" s="27">
        <f t="shared" si="72"/>
        <v>0</v>
      </c>
      <c r="BF66" s="27">
        <f t="shared" si="72"/>
        <v>0</v>
      </c>
      <c r="BG66" s="27">
        <f t="shared" si="72"/>
        <v>0</v>
      </c>
      <c r="BH66" s="27">
        <f>O66-AL66</f>
        <v>0</v>
      </c>
      <c r="BI66" s="27">
        <f t="shared" si="72"/>
        <v>0</v>
      </c>
      <c r="BJ66" s="27">
        <f t="shared" si="72"/>
        <v>0</v>
      </c>
      <c r="BK66" s="27">
        <f t="shared" si="72"/>
        <v>0</v>
      </c>
      <c r="BL66" s="27">
        <f t="shared" si="72"/>
        <v>0</v>
      </c>
      <c r="BM66" s="27">
        <f t="shared" si="72"/>
        <v>0</v>
      </c>
      <c r="BN66" s="27">
        <f>U66-AR66</f>
        <v>0</v>
      </c>
      <c r="BO66" s="27">
        <f t="shared" si="72"/>
        <v>0</v>
      </c>
      <c r="BP66" s="27">
        <f t="shared" si="72"/>
        <v>0</v>
      </c>
      <c r="BQ66" s="27"/>
      <c r="BR66" s="27"/>
      <c r="BS66" s="27">
        <f t="shared" si="73"/>
        <v>0</v>
      </c>
      <c r="BT66" s="27">
        <f t="shared" si="74"/>
        <v>0</v>
      </c>
      <c r="BU66" s="29">
        <f t="shared" si="10"/>
        <v>0.99863999999999997</v>
      </c>
      <c r="BV66" s="27">
        <f t="shared" si="75"/>
        <v>4993200</v>
      </c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>
        <f>+'[3]MAYO 2016'!$H$1676</f>
        <v>4993200</v>
      </c>
      <c r="CQ66" s="29">
        <f t="shared" si="76"/>
        <v>1.3600000000000279E-3</v>
      </c>
      <c r="CR66" s="27">
        <f t="shared" si="77"/>
        <v>6800</v>
      </c>
      <c r="CS66" s="27">
        <f t="shared" si="78"/>
        <v>0</v>
      </c>
      <c r="CT66" s="27">
        <f t="shared" si="78"/>
        <v>0</v>
      </c>
      <c r="CU66" s="27">
        <f t="shared" si="78"/>
        <v>0</v>
      </c>
      <c r="CV66" s="27">
        <f t="shared" si="78"/>
        <v>0</v>
      </c>
      <c r="CW66" s="27">
        <f t="shared" si="78"/>
        <v>0</v>
      </c>
      <c r="CX66" s="27">
        <f t="shared" si="78"/>
        <v>0</v>
      </c>
      <c r="CY66" s="27">
        <f t="shared" si="78"/>
        <v>0</v>
      </c>
      <c r="CZ66" s="27">
        <f t="shared" si="79"/>
        <v>0</v>
      </c>
      <c r="DA66" s="27">
        <f t="shared" si="79"/>
        <v>0</v>
      </c>
      <c r="DB66" s="27">
        <f t="shared" si="79"/>
        <v>0</v>
      </c>
      <c r="DC66" s="27">
        <f t="shared" si="80"/>
        <v>0</v>
      </c>
      <c r="DD66" s="27">
        <f t="shared" si="80"/>
        <v>0</v>
      </c>
      <c r="DE66" s="27">
        <f t="shared" si="80"/>
        <v>0</v>
      </c>
      <c r="DF66" s="27">
        <f t="shared" si="81"/>
        <v>0</v>
      </c>
      <c r="DG66" s="27">
        <f t="shared" si="81"/>
        <v>0</v>
      </c>
      <c r="DH66" s="27">
        <f t="shared" si="81"/>
        <v>0</v>
      </c>
      <c r="DI66" s="27"/>
      <c r="DJ66" s="27">
        <f t="shared" si="82"/>
        <v>0</v>
      </c>
      <c r="DK66" s="61">
        <f t="shared" si="82"/>
        <v>0</v>
      </c>
      <c r="DL66" s="27">
        <f t="shared" si="82"/>
        <v>6800</v>
      </c>
      <c r="DN66" s="193"/>
      <c r="DO66" s="193"/>
      <c r="DP66" s="193"/>
      <c r="DQ66" s="193"/>
      <c r="DR66" s="193"/>
    </row>
    <row r="67" spans="1:122" ht="24" hidden="1" customHeight="1" x14ac:dyDescent="0.25">
      <c r="A67" s="227"/>
      <c r="B67" s="230"/>
      <c r="C67" s="23" t="s">
        <v>199</v>
      </c>
      <c r="D67" s="24" t="s">
        <v>200</v>
      </c>
      <c r="E67" s="25">
        <v>520</v>
      </c>
      <c r="F67" s="26" t="s">
        <v>198</v>
      </c>
      <c r="G67" s="27">
        <f t="shared" si="67"/>
        <v>7000000</v>
      </c>
      <c r="H67" s="27"/>
      <c r="I67" s="39"/>
      <c r="J67" s="39"/>
      <c r="K67" s="39"/>
      <c r="L67" s="39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>
        <v>7000000</v>
      </c>
      <c r="AB67" s="64"/>
      <c r="AC67" s="29">
        <f t="shared" si="1"/>
        <v>0</v>
      </c>
      <c r="AD67" s="27">
        <f t="shared" si="68"/>
        <v>0</v>
      </c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9">
        <f t="shared" si="3"/>
        <v>1</v>
      </c>
      <c r="AZ67" s="27">
        <f t="shared" si="69"/>
        <v>7000000</v>
      </c>
      <c r="BA67" s="27">
        <f t="shared" si="70"/>
        <v>0</v>
      </c>
      <c r="BB67" s="27">
        <f t="shared" si="71"/>
        <v>0</v>
      </c>
      <c r="BC67" s="27">
        <f t="shared" si="71"/>
        <v>0</v>
      </c>
      <c r="BD67" s="27">
        <f t="shared" si="71"/>
        <v>0</v>
      </c>
      <c r="BE67" s="27">
        <f t="shared" si="72"/>
        <v>0</v>
      </c>
      <c r="BF67" s="27">
        <f t="shared" si="72"/>
        <v>0</v>
      </c>
      <c r="BG67" s="27">
        <f t="shared" si="72"/>
        <v>0</v>
      </c>
      <c r="BH67" s="27">
        <f>+O67-AL67</f>
        <v>0</v>
      </c>
      <c r="BI67" s="27">
        <f t="shared" si="72"/>
        <v>0</v>
      </c>
      <c r="BJ67" s="27">
        <f t="shared" si="72"/>
        <v>0</v>
      </c>
      <c r="BK67" s="27">
        <f t="shared" si="72"/>
        <v>0</v>
      </c>
      <c r="BL67" s="27">
        <f t="shared" si="72"/>
        <v>0</v>
      </c>
      <c r="BM67" s="27">
        <f t="shared" si="72"/>
        <v>0</v>
      </c>
      <c r="BN67" s="27">
        <f>+U67-AR67</f>
        <v>0</v>
      </c>
      <c r="BO67" s="27">
        <f t="shared" si="72"/>
        <v>0</v>
      </c>
      <c r="BP67" s="27">
        <f t="shared" si="72"/>
        <v>0</v>
      </c>
      <c r="BQ67" s="27"/>
      <c r="BR67" s="27">
        <f>+Y67-AV67</f>
        <v>0</v>
      </c>
      <c r="BS67" s="27">
        <f t="shared" si="73"/>
        <v>0</v>
      </c>
      <c r="BT67" s="27">
        <f t="shared" si="74"/>
        <v>7000000</v>
      </c>
      <c r="BU67" s="29">
        <f t="shared" si="10"/>
        <v>0</v>
      </c>
      <c r="BV67" s="27">
        <f t="shared" si="75"/>
        <v>0</v>
      </c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9">
        <f t="shared" si="76"/>
        <v>1</v>
      </c>
      <c r="CR67" s="27">
        <f t="shared" si="77"/>
        <v>7000000</v>
      </c>
      <c r="CS67" s="27">
        <f t="shared" si="78"/>
        <v>0</v>
      </c>
      <c r="CT67" s="27">
        <f t="shared" si="78"/>
        <v>0</v>
      </c>
      <c r="CU67" s="27">
        <f t="shared" si="78"/>
        <v>0</v>
      </c>
      <c r="CV67" s="27">
        <f t="shared" si="78"/>
        <v>0</v>
      </c>
      <c r="CW67" s="27">
        <f t="shared" si="78"/>
        <v>0</v>
      </c>
      <c r="CX67" s="27">
        <f t="shared" si="78"/>
        <v>0</v>
      </c>
      <c r="CY67" s="27">
        <f t="shared" si="78"/>
        <v>0</v>
      </c>
      <c r="CZ67" s="27">
        <f t="shared" si="79"/>
        <v>0</v>
      </c>
      <c r="DA67" s="27">
        <f t="shared" si="79"/>
        <v>0</v>
      </c>
      <c r="DB67" s="27">
        <f t="shared" si="79"/>
        <v>0</v>
      </c>
      <c r="DC67" s="27">
        <f t="shared" si="80"/>
        <v>0</v>
      </c>
      <c r="DD67" s="27">
        <f t="shared" si="80"/>
        <v>0</v>
      </c>
      <c r="DE67" s="27">
        <f t="shared" si="80"/>
        <v>0</v>
      </c>
      <c r="DF67" s="27">
        <f t="shared" si="81"/>
        <v>0</v>
      </c>
      <c r="DG67" s="27">
        <f t="shared" si="81"/>
        <v>0</v>
      </c>
      <c r="DH67" s="27">
        <f t="shared" si="81"/>
        <v>0</v>
      </c>
      <c r="DI67" s="27"/>
      <c r="DJ67" s="27">
        <f t="shared" si="82"/>
        <v>0</v>
      </c>
      <c r="DK67" s="61">
        <f t="shared" si="82"/>
        <v>0</v>
      </c>
      <c r="DL67" s="27">
        <f t="shared" si="82"/>
        <v>7000000</v>
      </c>
      <c r="DN67" s="193"/>
      <c r="DO67" s="193"/>
      <c r="DP67" s="193"/>
      <c r="DQ67" s="193"/>
      <c r="DR67" s="193"/>
    </row>
    <row r="68" spans="1:122" ht="76.5" hidden="1" customHeight="1" x14ac:dyDescent="0.25">
      <c r="A68" s="227"/>
      <c r="B68" s="230"/>
      <c r="C68" s="23" t="s">
        <v>201</v>
      </c>
      <c r="D68" s="24" t="s">
        <v>202</v>
      </c>
      <c r="E68" s="25">
        <v>520</v>
      </c>
      <c r="F68" s="26" t="s">
        <v>203</v>
      </c>
      <c r="G68" s="27">
        <f t="shared" si="67"/>
        <v>377038998</v>
      </c>
      <c r="H68" s="27"/>
      <c r="I68" s="39"/>
      <c r="J68" s="39"/>
      <c r="K68" s="39"/>
      <c r="L68" s="39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>
        <f>267022558+25000000+11804220+35899362+2954659+41266345-11804220+4000000+896074</f>
        <v>377038998</v>
      </c>
      <c r="AB68" s="64"/>
      <c r="AC68" s="29">
        <f t="shared" ref="AC68:AC91" si="83">+AD68/G68</f>
        <v>0.94435827033467767</v>
      </c>
      <c r="AD68" s="27">
        <f t="shared" si="68"/>
        <v>356059896</v>
      </c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>
        <f>+'[1]JUNIO 2016'!$AG$1953</f>
        <v>356059896</v>
      </c>
      <c r="AY68" s="29">
        <f t="shared" ref="AY68:AY91" si="84">1-AC68</f>
        <v>5.5641729665322326E-2</v>
      </c>
      <c r="AZ68" s="27">
        <f t="shared" si="69"/>
        <v>20979102</v>
      </c>
      <c r="BA68" s="27">
        <f t="shared" si="70"/>
        <v>0</v>
      </c>
      <c r="BB68" s="27">
        <f t="shared" si="71"/>
        <v>0</v>
      </c>
      <c r="BC68" s="27">
        <f t="shared" si="71"/>
        <v>0</v>
      </c>
      <c r="BD68" s="27">
        <f t="shared" si="71"/>
        <v>0</v>
      </c>
      <c r="BE68" s="27">
        <f t="shared" si="72"/>
        <v>0</v>
      </c>
      <c r="BF68" s="27">
        <f t="shared" si="72"/>
        <v>0</v>
      </c>
      <c r="BG68" s="27">
        <f t="shared" si="72"/>
        <v>0</v>
      </c>
      <c r="BH68" s="27">
        <f>+O68-AL68</f>
        <v>0</v>
      </c>
      <c r="BI68" s="27">
        <f t="shared" si="72"/>
        <v>0</v>
      </c>
      <c r="BJ68" s="27">
        <f t="shared" si="72"/>
        <v>0</v>
      </c>
      <c r="BK68" s="27">
        <f t="shared" si="72"/>
        <v>0</v>
      </c>
      <c r="BL68" s="27">
        <f t="shared" si="72"/>
        <v>0</v>
      </c>
      <c r="BM68" s="27">
        <f t="shared" si="72"/>
        <v>0</v>
      </c>
      <c r="BN68" s="27">
        <f>+U68-AR68</f>
        <v>0</v>
      </c>
      <c r="BO68" s="27">
        <f t="shared" si="72"/>
        <v>0</v>
      </c>
      <c r="BP68" s="27">
        <f t="shared" si="72"/>
        <v>0</v>
      </c>
      <c r="BQ68" s="27"/>
      <c r="BR68" s="27"/>
      <c r="BS68" s="27">
        <f t="shared" si="73"/>
        <v>0</v>
      </c>
      <c r="BT68" s="27">
        <f t="shared" si="74"/>
        <v>20979102</v>
      </c>
      <c r="BU68" s="29">
        <f t="shared" ref="BU68:BU91" si="85">+BV68/G68</f>
        <v>0.65273399384537933</v>
      </c>
      <c r="BV68" s="27">
        <f t="shared" si="75"/>
        <v>246106171</v>
      </c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>
        <f>+'[1]JUNIO 2016'!$H$1951</f>
        <v>246106171</v>
      </c>
      <c r="CQ68" s="29">
        <f t="shared" si="76"/>
        <v>0.34726600615462067</v>
      </c>
      <c r="CR68" s="27">
        <f t="shared" si="77"/>
        <v>130932827</v>
      </c>
      <c r="CS68" s="27">
        <f t="shared" si="78"/>
        <v>0</v>
      </c>
      <c r="CT68" s="27">
        <f t="shared" si="78"/>
        <v>0</v>
      </c>
      <c r="CU68" s="27">
        <f t="shared" si="78"/>
        <v>0</v>
      </c>
      <c r="CV68" s="27">
        <f t="shared" si="78"/>
        <v>0</v>
      </c>
      <c r="CW68" s="27">
        <f t="shared" si="78"/>
        <v>0</v>
      </c>
      <c r="CX68" s="27">
        <f t="shared" si="78"/>
        <v>0</v>
      </c>
      <c r="CY68" s="27">
        <f t="shared" si="78"/>
        <v>0</v>
      </c>
      <c r="CZ68" s="27">
        <f t="shared" si="79"/>
        <v>0</v>
      </c>
      <c r="DA68" s="27">
        <f t="shared" si="79"/>
        <v>0</v>
      </c>
      <c r="DB68" s="27">
        <f t="shared" si="79"/>
        <v>0</v>
      </c>
      <c r="DC68" s="27">
        <f t="shared" si="80"/>
        <v>0</v>
      </c>
      <c r="DD68" s="27">
        <f t="shared" si="80"/>
        <v>0</v>
      </c>
      <c r="DE68" s="27">
        <f t="shared" si="80"/>
        <v>0</v>
      </c>
      <c r="DF68" s="27">
        <f t="shared" si="81"/>
        <v>0</v>
      </c>
      <c r="DG68" s="27">
        <f t="shared" si="81"/>
        <v>0</v>
      </c>
      <c r="DH68" s="27">
        <f t="shared" si="81"/>
        <v>0</v>
      </c>
      <c r="DI68" s="27"/>
      <c r="DJ68" s="27">
        <f t="shared" si="82"/>
        <v>0</v>
      </c>
      <c r="DK68" s="61">
        <f t="shared" si="82"/>
        <v>0</v>
      </c>
      <c r="DL68" s="27">
        <f t="shared" si="82"/>
        <v>130932827</v>
      </c>
      <c r="DN68" s="193"/>
      <c r="DO68" s="193"/>
      <c r="DP68" s="193"/>
      <c r="DQ68" s="193"/>
      <c r="DR68" s="193"/>
    </row>
    <row r="69" spans="1:122" ht="36" hidden="1" customHeight="1" x14ac:dyDescent="0.25">
      <c r="A69" s="227"/>
      <c r="B69" s="230"/>
      <c r="C69" s="23" t="s">
        <v>204</v>
      </c>
      <c r="D69" s="24" t="s">
        <v>205</v>
      </c>
      <c r="E69" s="25">
        <v>520</v>
      </c>
      <c r="F69" s="26" t="s">
        <v>89</v>
      </c>
      <c r="G69" s="27">
        <f t="shared" si="67"/>
        <v>20000000</v>
      </c>
      <c r="H69" s="27"/>
      <c r="I69" s="39"/>
      <c r="J69" s="39"/>
      <c r="K69" s="39"/>
      <c r="L69" s="27">
        <v>20000000</v>
      </c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64"/>
      <c r="AC69" s="29">
        <f t="shared" si="83"/>
        <v>0</v>
      </c>
      <c r="AD69" s="27">
        <f t="shared" si="68"/>
        <v>0</v>
      </c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9">
        <f t="shared" si="84"/>
        <v>1</v>
      </c>
      <c r="AZ69" s="27">
        <f t="shared" si="69"/>
        <v>20000000</v>
      </c>
      <c r="BA69" s="27">
        <f t="shared" si="70"/>
        <v>0</v>
      </c>
      <c r="BB69" s="27">
        <f t="shared" si="71"/>
        <v>0</v>
      </c>
      <c r="BC69" s="27">
        <f t="shared" si="71"/>
        <v>0</v>
      </c>
      <c r="BD69" s="27">
        <f t="shared" si="71"/>
        <v>0</v>
      </c>
      <c r="BE69" s="27">
        <f t="shared" si="71"/>
        <v>20000000</v>
      </c>
      <c r="BF69" s="27">
        <f t="shared" si="71"/>
        <v>0</v>
      </c>
      <c r="BG69" s="27">
        <f t="shared" si="71"/>
        <v>0</v>
      </c>
      <c r="BH69" s="27">
        <f t="shared" si="71"/>
        <v>0</v>
      </c>
      <c r="BI69" s="27">
        <f t="shared" si="71"/>
        <v>0</v>
      </c>
      <c r="BJ69" s="27">
        <f t="shared" si="71"/>
        <v>0</v>
      </c>
      <c r="BK69" s="27">
        <f t="shared" si="71"/>
        <v>0</v>
      </c>
      <c r="BL69" s="27">
        <f t="shared" si="71"/>
        <v>0</v>
      </c>
      <c r="BM69" s="27">
        <f t="shared" si="71"/>
        <v>0</v>
      </c>
      <c r="BN69" s="27">
        <f t="shared" si="71"/>
        <v>0</v>
      </c>
      <c r="BO69" s="27">
        <f t="shared" si="71"/>
        <v>0</v>
      </c>
      <c r="BP69" s="27">
        <f t="shared" si="71"/>
        <v>0</v>
      </c>
      <c r="BQ69" s="27"/>
      <c r="BR69" s="27">
        <f>Y69-AV69</f>
        <v>0</v>
      </c>
      <c r="BS69" s="27">
        <f t="shared" si="73"/>
        <v>0</v>
      </c>
      <c r="BT69" s="27">
        <f>AA69-AX69</f>
        <v>0</v>
      </c>
      <c r="BU69" s="29">
        <f t="shared" si="85"/>
        <v>0</v>
      </c>
      <c r="BV69" s="27">
        <f t="shared" si="75"/>
        <v>0</v>
      </c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9">
        <f t="shared" si="76"/>
        <v>1</v>
      </c>
      <c r="CR69" s="27">
        <f t="shared" si="77"/>
        <v>20000000</v>
      </c>
      <c r="CS69" s="27">
        <f t="shared" si="78"/>
        <v>0</v>
      </c>
      <c r="CT69" s="27">
        <f t="shared" si="78"/>
        <v>0</v>
      </c>
      <c r="CU69" s="27">
        <f t="shared" si="78"/>
        <v>0</v>
      </c>
      <c r="CV69" s="27">
        <f t="shared" si="78"/>
        <v>0</v>
      </c>
      <c r="CW69" s="27">
        <f t="shared" si="78"/>
        <v>20000000</v>
      </c>
      <c r="CX69" s="27">
        <f t="shared" si="78"/>
        <v>0</v>
      </c>
      <c r="CY69" s="27">
        <f t="shared" si="78"/>
        <v>0</v>
      </c>
      <c r="CZ69" s="27">
        <f t="shared" si="78"/>
        <v>0</v>
      </c>
      <c r="DA69" s="27">
        <f t="shared" si="78"/>
        <v>0</v>
      </c>
      <c r="DB69" s="27">
        <f t="shared" si="78"/>
        <v>0</v>
      </c>
      <c r="DC69" s="27">
        <f t="shared" si="80"/>
        <v>0</v>
      </c>
      <c r="DD69" s="27">
        <f t="shared" si="80"/>
        <v>0</v>
      </c>
      <c r="DE69" s="27">
        <f t="shared" si="80"/>
        <v>0</v>
      </c>
      <c r="DF69" s="27">
        <f t="shared" si="80"/>
        <v>0</v>
      </c>
      <c r="DG69" s="27">
        <f t="shared" si="80"/>
        <v>0</v>
      </c>
      <c r="DH69" s="27">
        <f t="shared" si="80"/>
        <v>0</v>
      </c>
      <c r="DI69" s="27"/>
      <c r="DJ69" s="27">
        <f t="shared" ref="DJ69:DL70" si="86">Y69-CN69</f>
        <v>0</v>
      </c>
      <c r="DK69" s="27">
        <f t="shared" si="86"/>
        <v>0</v>
      </c>
      <c r="DL69" s="27">
        <f t="shared" si="86"/>
        <v>0</v>
      </c>
      <c r="DN69" s="193"/>
      <c r="DO69" s="193"/>
      <c r="DP69" s="193"/>
      <c r="DQ69" s="193"/>
      <c r="DR69" s="193"/>
    </row>
    <row r="70" spans="1:122" ht="34.5" hidden="1" customHeight="1" x14ac:dyDescent="0.25">
      <c r="A70" s="228"/>
      <c r="B70" s="231"/>
      <c r="C70" s="23" t="s">
        <v>206</v>
      </c>
      <c r="D70" s="24" t="s">
        <v>207</v>
      </c>
      <c r="E70" s="25">
        <v>520</v>
      </c>
      <c r="F70" s="26" t="s">
        <v>89</v>
      </c>
      <c r="G70" s="27">
        <f t="shared" si="67"/>
        <v>20000000</v>
      </c>
      <c r="H70" s="27"/>
      <c r="I70" s="39"/>
      <c r="J70" s="39"/>
      <c r="K70" s="39"/>
      <c r="L70" s="27">
        <v>20000000</v>
      </c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64"/>
      <c r="AC70" s="29">
        <f t="shared" si="83"/>
        <v>0.76</v>
      </c>
      <c r="AD70" s="27">
        <f t="shared" si="68"/>
        <v>15200000</v>
      </c>
      <c r="AE70" s="27"/>
      <c r="AF70" s="27"/>
      <c r="AG70" s="27"/>
      <c r="AH70" s="27"/>
      <c r="AI70" s="27">
        <f>+'[4]ABRIL 2016'!$O$1527</f>
        <v>15200000</v>
      </c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9">
        <f t="shared" si="84"/>
        <v>0.24</v>
      </c>
      <c r="AZ70" s="27">
        <f t="shared" si="69"/>
        <v>4800000</v>
      </c>
      <c r="BA70" s="27">
        <f t="shared" si="70"/>
        <v>0</v>
      </c>
      <c r="BB70" s="27">
        <f t="shared" si="71"/>
        <v>0</v>
      </c>
      <c r="BC70" s="27">
        <f t="shared" si="71"/>
        <v>0</v>
      </c>
      <c r="BD70" s="27">
        <f t="shared" si="71"/>
        <v>0</v>
      </c>
      <c r="BE70" s="27">
        <f t="shared" si="71"/>
        <v>4800000</v>
      </c>
      <c r="BF70" s="27">
        <f t="shared" si="71"/>
        <v>0</v>
      </c>
      <c r="BG70" s="27">
        <f t="shared" si="71"/>
        <v>0</v>
      </c>
      <c r="BH70" s="27">
        <f t="shared" si="71"/>
        <v>0</v>
      </c>
      <c r="BI70" s="27">
        <f t="shared" si="71"/>
        <v>0</v>
      </c>
      <c r="BJ70" s="27">
        <f t="shared" si="71"/>
        <v>0</v>
      </c>
      <c r="BK70" s="27">
        <f t="shared" si="71"/>
        <v>0</v>
      </c>
      <c r="BL70" s="27">
        <f t="shared" si="71"/>
        <v>0</v>
      </c>
      <c r="BM70" s="27">
        <f t="shared" si="71"/>
        <v>0</v>
      </c>
      <c r="BN70" s="27">
        <f t="shared" si="71"/>
        <v>0</v>
      </c>
      <c r="BO70" s="27">
        <f t="shared" si="71"/>
        <v>0</v>
      </c>
      <c r="BP70" s="27">
        <f t="shared" si="71"/>
        <v>0</v>
      </c>
      <c r="BQ70" s="27"/>
      <c r="BR70" s="27">
        <f>Y70-AV70</f>
        <v>0</v>
      </c>
      <c r="BS70" s="27">
        <f t="shared" si="73"/>
        <v>0</v>
      </c>
      <c r="BT70" s="27">
        <f>AA70-AX70</f>
        <v>0</v>
      </c>
      <c r="BU70" s="29">
        <f t="shared" si="85"/>
        <v>0.62436239999999998</v>
      </c>
      <c r="BV70" s="27">
        <f t="shared" si="75"/>
        <v>12487248</v>
      </c>
      <c r="BW70" s="27"/>
      <c r="BX70" s="27"/>
      <c r="BY70" s="27"/>
      <c r="BZ70" s="27"/>
      <c r="CA70" s="27">
        <f>+'[3]MAYO 2016'!$H$1761</f>
        <v>12487248</v>
      </c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9">
        <f t="shared" si="76"/>
        <v>0.37563760000000002</v>
      </c>
      <c r="CR70" s="27">
        <f t="shared" si="77"/>
        <v>7512752</v>
      </c>
      <c r="CS70" s="27">
        <f t="shared" si="78"/>
        <v>0</v>
      </c>
      <c r="CT70" s="27">
        <f t="shared" si="78"/>
        <v>0</v>
      </c>
      <c r="CU70" s="27">
        <f t="shared" si="78"/>
        <v>0</v>
      </c>
      <c r="CV70" s="27">
        <f t="shared" si="78"/>
        <v>0</v>
      </c>
      <c r="CW70" s="27">
        <f t="shared" si="78"/>
        <v>7512752</v>
      </c>
      <c r="CX70" s="27">
        <f t="shared" si="78"/>
        <v>0</v>
      </c>
      <c r="CY70" s="27">
        <f t="shared" si="78"/>
        <v>0</v>
      </c>
      <c r="CZ70" s="27">
        <f t="shared" si="78"/>
        <v>0</v>
      </c>
      <c r="DA70" s="27">
        <f t="shared" si="78"/>
        <v>0</v>
      </c>
      <c r="DB70" s="27">
        <f t="shared" si="78"/>
        <v>0</v>
      </c>
      <c r="DC70" s="27">
        <f t="shared" si="80"/>
        <v>0</v>
      </c>
      <c r="DD70" s="27">
        <f t="shared" si="80"/>
        <v>0</v>
      </c>
      <c r="DE70" s="27">
        <f t="shared" si="80"/>
        <v>0</v>
      </c>
      <c r="DF70" s="27">
        <f t="shared" si="80"/>
        <v>0</v>
      </c>
      <c r="DG70" s="27">
        <f t="shared" si="80"/>
        <v>0</v>
      </c>
      <c r="DH70" s="27">
        <f t="shared" si="80"/>
        <v>0</v>
      </c>
      <c r="DI70" s="27"/>
      <c r="DJ70" s="27">
        <f t="shared" si="86"/>
        <v>0</v>
      </c>
      <c r="DK70" s="27">
        <f t="shared" si="86"/>
        <v>0</v>
      </c>
      <c r="DL70" s="27">
        <f t="shared" si="86"/>
        <v>0</v>
      </c>
      <c r="DN70" s="193"/>
      <c r="DO70" s="193"/>
      <c r="DP70" s="193"/>
      <c r="DQ70" s="193"/>
      <c r="DR70" s="193"/>
    </row>
    <row r="71" spans="1:122" ht="33" hidden="1" customHeight="1" x14ac:dyDescent="0.25">
      <c r="A71" s="226" t="s">
        <v>175</v>
      </c>
      <c r="B71" s="240" t="s">
        <v>208</v>
      </c>
      <c r="C71" s="23" t="s">
        <v>209</v>
      </c>
      <c r="D71" s="24" t="s">
        <v>210</v>
      </c>
      <c r="E71" s="25">
        <v>520</v>
      </c>
      <c r="F71" s="26" t="s">
        <v>89</v>
      </c>
      <c r="G71" s="27">
        <f t="shared" si="67"/>
        <v>10000000</v>
      </c>
      <c r="H71" s="27"/>
      <c r="I71" s="39"/>
      <c r="J71" s="27"/>
      <c r="K71" s="27"/>
      <c r="L71" s="27">
        <f>20000000-10000000</f>
        <v>10000000</v>
      </c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64"/>
      <c r="AC71" s="29">
        <f t="shared" si="83"/>
        <v>0</v>
      </c>
      <c r="AD71" s="27">
        <f t="shared" si="68"/>
        <v>0</v>
      </c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9">
        <f t="shared" si="84"/>
        <v>1</v>
      </c>
      <c r="AZ71" s="27">
        <f t="shared" si="69"/>
        <v>10000000</v>
      </c>
      <c r="BA71" s="27">
        <f t="shared" si="70"/>
        <v>0</v>
      </c>
      <c r="BB71" s="27">
        <f t="shared" si="71"/>
        <v>0</v>
      </c>
      <c r="BC71" s="27">
        <f t="shared" si="71"/>
        <v>0</v>
      </c>
      <c r="BD71" s="27">
        <f t="shared" si="71"/>
        <v>0</v>
      </c>
      <c r="BE71" s="27">
        <f t="shared" ref="BE71:BP86" si="87">+L71-AI71</f>
        <v>10000000</v>
      </c>
      <c r="BF71" s="27">
        <f t="shared" si="87"/>
        <v>0</v>
      </c>
      <c r="BG71" s="27">
        <f t="shared" si="87"/>
        <v>0</v>
      </c>
      <c r="BH71" s="27">
        <f t="shared" si="87"/>
        <v>0</v>
      </c>
      <c r="BI71" s="27">
        <f t="shared" si="87"/>
        <v>0</v>
      </c>
      <c r="BJ71" s="27">
        <f t="shared" si="87"/>
        <v>0</v>
      </c>
      <c r="BK71" s="27">
        <f t="shared" si="87"/>
        <v>0</v>
      </c>
      <c r="BL71" s="27">
        <f t="shared" si="87"/>
        <v>0</v>
      </c>
      <c r="BM71" s="27">
        <f t="shared" si="87"/>
        <v>0</v>
      </c>
      <c r="BN71" s="27">
        <f t="shared" si="87"/>
        <v>0</v>
      </c>
      <c r="BO71" s="27">
        <f t="shared" si="87"/>
        <v>0</v>
      </c>
      <c r="BP71" s="27">
        <f t="shared" si="87"/>
        <v>0</v>
      </c>
      <c r="BQ71" s="27"/>
      <c r="BR71" s="27"/>
      <c r="BS71" s="27">
        <f t="shared" si="73"/>
        <v>0</v>
      </c>
      <c r="BT71" s="27">
        <f t="shared" ref="BT71:BT90" si="88">+AA71-AX71</f>
        <v>0</v>
      </c>
      <c r="BU71" s="29">
        <f t="shared" si="85"/>
        <v>0</v>
      </c>
      <c r="BV71" s="27">
        <f t="shared" si="75"/>
        <v>0</v>
      </c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9">
        <f t="shared" si="76"/>
        <v>1</v>
      </c>
      <c r="CR71" s="27">
        <f t="shared" si="77"/>
        <v>10000000</v>
      </c>
      <c r="CS71" s="27">
        <f t="shared" si="78"/>
        <v>0</v>
      </c>
      <c r="CT71" s="27">
        <f t="shared" si="78"/>
        <v>0</v>
      </c>
      <c r="CU71" s="27">
        <f t="shared" si="78"/>
        <v>0</v>
      </c>
      <c r="CV71" s="27">
        <f t="shared" si="78"/>
        <v>0</v>
      </c>
      <c r="CW71" s="27">
        <f t="shared" si="78"/>
        <v>10000000</v>
      </c>
      <c r="CX71" s="27">
        <f t="shared" si="78"/>
        <v>0</v>
      </c>
      <c r="CY71" s="27">
        <f t="shared" si="78"/>
        <v>0</v>
      </c>
      <c r="CZ71" s="27">
        <f t="shared" ref="CZ71:DB73" si="89">+O71-CD71</f>
        <v>0</v>
      </c>
      <c r="DA71" s="27">
        <f t="shared" si="89"/>
        <v>0</v>
      </c>
      <c r="DB71" s="27">
        <f t="shared" si="89"/>
        <v>0</v>
      </c>
      <c r="DC71" s="27">
        <f t="shared" si="80"/>
        <v>0</v>
      </c>
      <c r="DD71" s="27">
        <f t="shared" si="80"/>
        <v>0</v>
      </c>
      <c r="DE71" s="27">
        <f t="shared" si="80"/>
        <v>0</v>
      </c>
      <c r="DF71" s="27">
        <f t="shared" ref="DF71:DH82" si="90">+U71-CJ71</f>
        <v>0</v>
      </c>
      <c r="DG71" s="27">
        <f t="shared" si="90"/>
        <v>0</v>
      </c>
      <c r="DH71" s="27">
        <f t="shared" si="90"/>
        <v>0</v>
      </c>
      <c r="DI71" s="27"/>
      <c r="DJ71" s="27">
        <f t="shared" ref="DJ71:DL82" si="91">+Y71-CN71</f>
        <v>0</v>
      </c>
      <c r="DK71" s="61">
        <f t="shared" si="91"/>
        <v>0</v>
      </c>
      <c r="DL71" s="27">
        <f t="shared" si="91"/>
        <v>0</v>
      </c>
      <c r="DN71" s="193"/>
      <c r="DO71" s="193"/>
      <c r="DP71" s="193"/>
      <c r="DQ71" s="193"/>
      <c r="DR71" s="193"/>
    </row>
    <row r="72" spans="1:122" ht="21" hidden="1" customHeight="1" x14ac:dyDescent="0.25">
      <c r="A72" s="227"/>
      <c r="B72" s="241"/>
      <c r="C72" s="23" t="s">
        <v>211</v>
      </c>
      <c r="D72" s="24" t="s">
        <v>212</v>
      </c>
      <c r="E72" s="25">
        <v>520</v>
      </c>
      <c r="F72" s="26" t="s">
        <v>89</v>
      </c>
      <c r="G72" s="27">
        <f t="shared" si="67"/>
        <v>20000000</v>
      </c>
      <c r="H72" s="27"/>
      <c r="I72" s="39"/>
      <c r="J72" s="27"/>
      <c r="K72" s="27"/>
      <c r="L72" s="27">
        <v>20000000</v>
      </c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64"/>
      <c r="AC72" s="29">
        <f t="shared" si="83"/>
        <v>1</v>
      </c>
      <c r="AD72" s="27">
        <f t="shared" si="68"/>
        <v>20000000</v>
      </c>
      <c r="AE72" s="27"/>
      <c r="AF72" s="27"/>
      <c r="AG72" s="27"/>
      <c r="AH72" s="27"/>
      <c r="AI72" s="27">
        <f>+'[5]ENERO 2016'!$O$771</f>
        <v>20000000</v>
      </c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9">
        <f t="shared" si="84"/>
        <v>0</v>
      </c>
      <c r="AZ72" s="27">
        <f t="shared" si="69"/>
        <v>0</v>
      </c>
      <c r="BA72" s="27">
        <f t="shared" si="70"/>
        <v>0</v>
      </c>
      <c r="BB72" s="27">
        <f t="shared" si="71"/>
        <v>0</v>
      </c>
      <c r="BC72" s="27">
        <f t="shared" si="71"/>
        <v>0</v>
      </c>
      <c r="BD72" s="27">
        <f t="shared" si="71"/>
        <v>0</v>
      </c>
      <c r="BE72" s="27">
        <f t="shared" si="87"/>
        <v>0</v>
      </c>
      <c r="BF72" s="27">
        <f t="shared" si="87"/>
        <v>0</v>
      </c>
      <c r="BG72" s="27">
        <f t="shared" si="87"/>
        <v>0</v>
      </c>
      <c r="BH72" s="27">
        <f t="shared" si="87"/>
        <v>0</v>
      </c>
      <c r="BI72" s="27">
        <f t="shared" si="87"/>
        <v>0</v>
      </c>
      <c r="BJ72" s="27">
        <f t="shared" si="87"/>
        <v>0</v>
      </c>
      <c r="BK72" s="27">
        <f t="shared" si="87"/>
        <v>0</v>
      </c>
      <c r="BL72" s="27">
        <f t="shared" si="87"/>
        <v>0</v>
      </c>
      <c r="BM72" s="27">
        <f t="shared" si="87"/>
        <v>0</v>
      </c>
      <c r="BN72" s="27">
        <f t="shared" si="87"/>
        <v>0</v>
      </c>
      <c r="BO72" s="27">
        <f t="shared" si="87"/>
        <v>0</v>
      </c>
      <c r="BP72" s="27">
        <f t="shared" si="87"/>
        <v>0</v>
      </c>
      <c r="BQ72" s="27"/>
      <c r="BR72" s="27"/>
      <c r="BS72" s="27">
        <f t="shared" si="73"/>
        <v>0</v>
      </c>
      <c r="BT72" s="27">
        <f t="shared" si="88"/>
        <v>0</v>
      </c>
      <c r="BU72" s="29">
        <f t="shared" si="85"/>
        <v>0.89853749999999999</v>
      </c>
      <c r="BV72" s="27">
        <f t="shared" si="75"/>
        <v>17970750</v>
      </c>
      <c r="BW72" s="27"/>
      <c r="BX72" s="27"/>
      <c r="BY72" s="27"/>
      <c r="BZ72" s="27"/>
      <c r="CA72" s="27">
        <f>+'[5]ENERO 2016'!$H$769</f>
        <v>17970750</v>
      </c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9">
        <f t="shared" si="76"/>
        <v>0.10146250000000001</v>
      </c>
      <c r="CR72" s="27">
        <f t="shared" si="77"/>
        <v>2029250</v>
      </c>
      <c r="CS72" s="27">
        <f t="shared" si="78"/>
        <v>0</v>
      </c>
      <c r="CT72" s="27">
        <f t="shared" si="78"/>
        <v>0</v>
      </c>
      <c r="CU72" s="27">
        <f t="shared" si="78"/>
        <v>0</v>
      </c>
      <c r="CV72" s="27">
        <f t="shared" si="78"/>
        <v>0</v>
      </c>
      <c r="CW72" s="27">
        <f t="shared" si="78"/>
        <v>2029250</v>
      </c>
      <c r="CX72" s="27">
        <f t="shared" si="78"/>
        <v>0</v>
      </c>
      <c r="CY72" s="27">
        <f t="shared" si="78"/>
        <v>0</v>
      </c>
      <c r="CZ72" s="27">
        <f t="shared" si="89"/>
        <v>0</v>
      </c>
      <c r="DA72" s="27">
        <f t="shared" si="89"/>
        <v>0</v>
      </c>
      <c r="DB72" s="27">
        <f t="shared" si="89"/>
        <v>0</v>
      </c>
      <c r="DC72" s="27">
        <f t="shared" si="80"/>
        <v>0</v>
      </c>
      <c r="DD72" s="27">
        <f t="shared" si="80"/>
        <v>0</v>
      </c>
      <c r="DE72" s="27">
        <f t="shared" si="80"/>
        <v>0</v>
      </c>
      <c r="DF72" s="27">
        <f t="shared" si="90"/>
        <v>0</v>
      </c>
      <c r="DG72" s="27">
        <f t="shared" si="90"/>
        <v>0</v>
      </c>
      <c r="DH72" s="27">
        <f t="shared" si="90"/>
        <v>0</v>
      </c>
      <c r="DI72" s="27"/>
      <c r="DJ72" s="27">
        <f t="shared" si="91"/>
        <v>0</v>
      </c>
      <c r="DK72" s="61">
        <f t="shared" si="91"/>
        <v>0</v>
      </c>
      <c r="DL72" s="27">
        <f t="shared" si="91"/>
        <v>0</v>
      </c>
      <c r="DN72" s="193"/>
      <c r="DO72" s="193"/>
      <c r="DP72" s="193"/>
      <c r="DQ72" s="193"/>
      <c r="DR72" s="193"/>
    </row>
    <row r="73" spans="1:122" ht="23.25" hidden="1" customHeight="1" x14ac:dyDescent="0.25">
      <c r="A73" s="227"/>
      <c r="B73" s="241"/>
      <c r="C73" s="23" t="s">
        <v>213</v>
      </c>
      <c r="D73" s="24" t="s">
        <v>214</v>
      </c>
      <c r="E73" s="25">
        <v>520</v>
      </c>
      <c r="F73" s="26" t="s">
        <v>75</v>
      </c>
      <c r="G73" s="27">
        <f t="shared" si="67"/>
        <v>1000000</v>
      </c>
      <c r="H73" s="27"/>
      <c r="I73" s="39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>
        <f>3000000-2000000</f>
        <v>1000000</v>
      </c>
      <c r="AB73" s="64"/>
      <c r="AC73" s="29">
        <f t="shared" si="83"/>
        <v>1</v>
      </c>
      <c r="AD73" s="27">
        <f t="shared" si="68"/>
        <v>1000000</v>
      </c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>
        <f>+'[4]ABRIL 2016'!$G$1547</f>
        <v>1000000</v>
      </c>
      <c r="AY73" s="29">
        <f t="shared" si="84"/>
        <v>0</v>
      </c>
      <c r="AZ73" s="27">
        <f t="shared" si="69"/>
        <v>0</v>
      </c>
      <c r="BA73" s="27">
        <f t="shared" si="70"/>
        <v>0</v>
      </c>
      <c r="BB73" s="27">
        <f t="shared" si="71"/>
        <v>0</v>
      </c>
      <c r="BC73" s="27">
        <f t="shared" si="71"/>
        <v>0</v>
      </c>
      <c r="BD73" s="27">
        <f t="shared" si="71"/>
        <v>0</v>
      </c>
      <c r="BE73" s="27">
        <f t="shared" si="87"/>
        <v>0</v>
      </c>
      <c r="BF73" s="27">
        <f t="shared" si="87"/>
        <v>0</v>
      </c>
      <c r="BG73" s="27">
        <f t="shared" si="87"/>
        <v>0</v>
      </c>
      <c r="BH73" s="27">
        <f t="shared" si="87"/>
        <v>0</v>
      </c>
      <c r="BI73" s="27">
        <f t="shared" si="87"/>
        <v>0</v>
      </c>
      <c r="BJ73" s="27">
        <f t="shared" si="87"/>
        <v>0</v>
      </c>
      <c r="BK73" s="27">
        <f t="shared" si="87"/>
        <v>0</v>
      </c>
      <c r="BL73" s="27">
        <f t="shared" si="87"/>
        <v>0</v>
      </c>
      <c r="BM73" s="27">
        <f t="shared" si="87"/>
        <v>0</v>
      </c>
      <c r="BN73" s="27">
        <f t="shared" si="87"/>
        <v>0</v>
      </c>
      <c r="BO73" s="27">
        <f t="shared" si="87"/>
        <v>0</v>
      </c>
      <c r="BP73" s="27">
        <f t="shared" si="87"/>
        <v>0</v>
      </c>
      <c r="BQ73" s="27"/>
      <c r="BR73" s="27"/>
      <c r="BS73" s="27">
        <f t="shared" si="73"/>
        <v>0</v>
      </c>
      <c r="BT73" s="27">
        <f t="shared" si="88"/>
        <v>0</v>
      </c>
      <c r="BU73" s="29">
        <f t="shared" si="85"/>
        <v>1</v>
      </c>
      <c r="BV73" s="27">
        <f t="shared" si="75"/>
        <v>1000000</v>
      </c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>
        <f>+'[4]ABRIL 2016'!$H$1547</f>
        <v>1000000</v>
      </c>
      <c r="CQ73" s="29">
        <f t="shared" si="76"/>
        <v>0</v>
      </c>
      <c r="CR73" s="27">
        <f t="shared" si="77"/>
        <v>0</v>
      </c>
      <c r="CS73" s="27">
        <f t="shared" si="78"/>
        <v>0</v>
      </c>
      <c r="CT73" s="27">
        <f t="shared" si="78"/>
        <v>0</v>
      </c>
      <c r="CU73" s="27">
        <f t="shared" si="78"/>
        <v>0</v>
      </c>
      <c r="CV73" s="27">
        <f t="shared" si="78"/>
        <v>0</v>
      </c>
      <c r="CW73" s="27">
        <f t="shared" si="78"/>
        <v>0</v>
      </c>
      <c r="CX73" s="27">
        <f t="shared" si="78"/>
        <v>0</v>
      </c>
      <c r="CY73" s="27">
        <f t="shared" si="78"/>
        <v>0</v>
      </c>
      <c r="CZ73" s="27">
        <f t="shared" si="89"/>
        <v>0</v>
      </c>
      <c r="DA73" s="27">
        <f t="shared" si="89"/>
        <v>0</v>
      </c>
      <c r="DB73" s="27">
        <f t="shared" si="89"/>
        <v>0</v>
      </c>
      <c r="DC73" s="27">
        <f t="shared" si="80"/>
        <v>0</v>
      </c>
      <c r="DD73" s="27">
        <f t="shared" si="80"/>
        <v>0</v>
      </c>
      <c r="DE73" s="27">
        <f t="shared" si="80"/>
        <v>0</v>
      </c>
      <c r="DF73" s="27">
        <f t="shared" si="90"/>
        <v>0</v>
      </c>
      <c r="DG73" s="27">
        <f t="shared" si="90"/>
        <v>0</v>
      </c>
      <c r="DH73" s="27">
        <f t="shared" si="90"/>
        <v>0</v>
      </c>
      <c r="DI73" s="27"/>
      <c r="DJ73" s="27">
        <f t="shared" si="91"/>
        <v>0</v>
      </c>
      <c r="DK73" s="61">
        <f t="shared" si="91"/>
        <v>0</v>
      </c>
      <c r="DL73" s="27">
        <f t="shared" si="91"/>
        <v>0</v>
      </c>
      <c r="DN73" s="193"/>
      <c r="DO73" s="193"/>
      <c r="DP73" s="193"/>
      <c r="DQ73" s="193"/>
      <c r="DR73" s="193"/>
    </row>
    <row r="74" spans="1:122" ht="33" hidden="1" customHeight="1" x14ac:dyDescent="0.25">
      <c r="A74" s="227"/>
      <c r="B74" s="241"/>
      <c r="C74" s="23" t="s">
        <v>215</v>
      </c>
      <c r="D74" s="24" t="s">
        <v>216</v>
      </c>
      <c r="E74" s="25">
        <v>520</v>
      </c>
      <c r="F74" s="26" t="s">
        <v>89</v>
      </c>
      <c r="G74" s="27">
        <f t="shared" si="67"/>
        <v>5000000</v>
      </c>
      <c r="H74" s="27"/>
      <c r="I74" s="39"/>
      <c r="J74" s="27"/>
      <c r="K74" s="27"/>
      <c r="L74" s="27">
        <v>5000000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64"/>
      <c r="AC74" s="29">
        <f t="shared" si="83"/>
        <v>0</v>
      </c>
      <c r="AD74" s="27">
        <f t="shared" si="68"/>
        <v>0</v>
      </c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9">
        <f t="shared" si="84"/>
        <v>1</v>
      </c>
      <c r="AZ74" s="27">
        <f t="shared" si="69"/>
        <v>5000000</v>
      </c>
      <c r="BA74" s="27">
        <f t="shared" si="70"/>
        <v>0</v>
      </c>
      <c r="BB74" s="27">
        <f t="shared" si="71"/>
        <v>0</v>
      </c>
      <c r="BC74" s="27">
        <f t="shared" si="71"/>
        <v>0</v>
      </c>
      <c r="BD74" s="27">
        <f t="shared" si="71"/>
        <v>0</v>
      </c>
      <c r="BE74" s="27">
        <f t="shared" si="87"/>
        <v>5000000</v>
      </c>
      <c r="BF74" s="27"/>
      <c r="BG74" s="27"/>
      <c r="BH74" s="27"/>
      <c r="BI74" s="27"/>
      <c r="BJ74" s="27"/>
      <c r="BK74" s="27">
        <f t="shared" si="87"/>
        <v>0</v>
      </c>
      <c r="BL74" s="27">
        <f t="shared" si="87"/>
        <v>0</v>
      </c>
      <c r="BM74" s="27">
        <f t="shared" si="87"/>
        <v>0</v>
      </c>
      <c r="BN74" s="27"/>
      <c r="BO74" s="27">
        <f t="shared" si="87"/>
        <v>0</v>
      </c>
      <c r="BP74" s="27">
        <f t="shared" si="87"/>
        <v>0</v>
      </c>
      <c r="BQ74" s="27"/>
      <c r="BR74" s="27"/>
      <c r="BS74" s="27">
        <f t="shared" si="73"/>
        <v>0</v>
      </c>
      <c r="BT74" s="27">
        <f t="shared" si="88"/>
        <v>0</v>
      </c>
      <c r="BU74" s="29">
        <f t="shared" si="85"/>
        <v>0</v>
      </c>
      <c r="BV74" s="27">
        <f t="shared" si="75"/>
        <v>0</v>
      </c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9">
        <f t="shared" si="76"/>
        <v>1</v>
      </c>
      <c r="CR74" s="27">
        <f t="shared" si="77"/>
        <v>5000000</v>
      </c>
      <c r="CS74" s="27">
        <f t="shared" si="78"/>
        <v>0</v>
      </c>
      <c r="CT74" s="27">
        <f t="shared" si="78"/>
        <v>0</v>
      </c>
      <c r="CU74" s="27">
        <f t="shared" si="78"/>
        <v>0</v>
      </c>
      <c r="CV74" s="27">
        <f t="shared" si="78"/>
        <v>0</v>
      </c>
      <c r="CW74" s="27">
        <f t="shared" si="78"/>
        <v>5000000</v>
      </c>
      <c r="CX74" s="27"/>
      <c r="CY74" s="27"/>
      <c r="CZ74" s="27"/>
      <c r="DA74" s="27"/>
      <c r="DB74" s="27"/>
      <c r="DC74" s="27">
        <f t="shared" si="80"/>
        <v>0</v>
      </c>
      <c r="DD74" s="27">
        <f t="shared" si="80"/>
        <v>0</v>
      </c>
      <c r="DE74" s="27">
        <f t="shared" si="80"/>
        <v>0</v>
      </c>
      <c r="DF74" s="27">
        <f t="shared" si="90"/>
        <v>0</v>
      </c>
      <c r="DG74" s="27">
        <f t="shared" si="90"/>
        <v>0</v>
      </c>
      <c r="DH74" s="27">
        <f t="shared" si="90"/>
        <v>0</v>
      </c>
      <c r="DI74" s="27"/>
      <c r="DJ74" s="27"/>
      <c r="DK74" s="61"/>
      <c r="DL74" s="27">
        <f t="shared" si="91"/>
        <v>0</v>
      </c>
      <c r="DN74" s="193"/>
      <c r="DO74" s="193"/>
      <c r="DP74" s="193"/>
      <c r="DQ74" s="193"/>
      <c r="DR74" s="193"/>
    </row>
    <row r="75" spans="1:122" ht="22.5" hidden="1" customHeight="1" x14ac:dyDescent="0.25">
      <c r="A75" s="227"/>
      <c r="B75" s="241"/>
      <c r="C75" s="23" t="s">
        <v>217</v>
      </c>
      <c r="D75" s="24" t="s">
        <v>218</v>
      </c>
      <c r="E75" s="25">
        <v>520</v>
      </c>
      <c r="F75" s="26" t="s">
        <v>89</v>
      </c>
      <c r="G75" s="27">
        <f t="shared" si="67"/>
        <v>5000000</v>
      </c>
      <c r="H75" s="27"/>
      <c r="I75" s="39"/>
      <c r="J75" s="27"/>
      <c r="K75" s="27"/>
      <c r="L75" s="27">
        <v>5000000</v>
      </c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64"/>
      <c r="AC75" s="29">
        <f t="shared" si="83"/>
        <v>0</v>
      </c>
      <c r="AD75" s="27">
        <f t="shared" si="68"/>
        <v>0</v>
      </c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9">
        <f t="shared" si="84"/>
        <v>1</v>
      </c>
      <c r="AZ75" s="27">
        <f t="shared" si="69"/>
        <v>5000000</v>
      </c>
      <c r="BA75" s="27">
        <f t="shared" si="70"/>
        <v>0</v>
      </c>
      <c r="BB75" s="27">
        <f t="shared" si="71"/>
        <v>0</v>
      </c>
      <c r="BC75" s="27">
        <f t="shared" si="71"/>
        <v>0</v>
      </c>
      <c r="BD75" s="27">
        <f t="shared" si="71"/>
        <v>0</v>
      </c>
      <c r="BE75" s="27">
        <f t="shared" si="87"/>
        <v>5000000</v>
      </c>
      <c r="BF75" s="27"/>
      <c r="BG75" s="27"/>
      <c r="BH75" s="27"/>
      <c r="BI75" s="27"/>
      <c r="BJ75" s="27"/>
      <c r="BK75" s="27">
        <f t="shared" si="87"/>
        <v>0</v>
      </c>
      <c r="BL75" s="27">
        <f t="shared" si="87"/>
        <v>0</v>
      </c>
      <c r="BM75" s="27">
        <f t="shared" si="87"/>
        <v>0</v>
      </c>
      <c r="BN75" s="27"/>
      <c r="BO75" s="27">
        <f t="shared" si="87"/>
        <v>0</v>
      </c>
      <c r="BP75" s="27">
        <f t="shared" si="87"/>
        <v>0</v>
      </c>
      <c r="BQ75" s="27"/>
      <c r="BR75" s="27"/>
      <c r="BS75" s="27">
        <f t="shared" si="73"/>
        <v>0</v>
      </c>
      <c r="BT75" s="27">
        <f t="shared" si="88"/>
        <v>0</v>
      </c>
      <c r="BU75" s="29">
        <f t="shared" si="85"/>
        <v>0</v>
      </c>
      <c r="BV75" s="27">
        <f t="shared" si="75"/>
        <v>0</v>
      </c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9">
        <f t="shared" si="76"/>
        <v>1</v>
      </c>
      <c r="CR75" s="27">
        <f t="shared" si="77"/>
        <v>5000000</v>
      </c>
      <c r="CS75" s="27">
        <f t="shared" ref="CS75:CY90" si="92">H75-BW75</f>
        <v>0</v>
      </c>
      <c r="CT75" s="27">
        <f t="shared" si="92"/>
        <v>0</v>
      </c>
      <c r="CU75" s="27">
        <f t="shared" si="92"/>
        <v>0</v>
      </c>
      <c r="CV75" s="27">
        <f t="shared" si="92"/>
        <v>0</v>
      </c>
      <c r="CW75" s="27">
        <f t="shared" si="92"/>
        <v>5000000</v>
      </c>
      <c r="CX75" s="27"/>
      <c r="CY75" s="27"/>
      <c r="CZ75" s="27"/>
      <c r="DA75" s="27"/>
      <c r="DB75" s="27"/>
      <c r="DC75" s="27">
        <f t="shared" si="80"/>
        <v>0</v>
      </c>
      <c r="DD75" s="27">
        <f t="shared" si="80"/>
        <v>0</v>
      </c>
      <c r="DE75" s="27">
        <f t="shared" si="80"/>
        <v>0</v>
      </c>
      <c r="DF75" s="27">
        <f t="shared" si="90"/>
        <v>0</v>
      </c>
      <c r="DG75" s="27">
        <f t="shared" si="90"/>
        <v>0</v>
      </c>
      <c r="DH75" s="27">
        <f t="shared" si="90"/>
        <v>0</v>
      </c>
      <c r="DI75" s="27"/>
      <c r="DJ75" s="27"/>
      <c r="DK75" s="61"/>
      <c r="DL75" s="27">
        <f t="shared" si="91"/>
        <v>0</v>
      </c>
      <c r="DN75" s="193"/>
      <c r="DO75" s="193"/>
      <c r="DP75" s="193"/>
      <c r="DQ75" s="193"/>
      <c r="DR75" s="193"/>
    </row>
    <row r="76" spans="1:122" ht="24.75" hidden="1" customHeight="1" x14ac:dyDescent="0.25">
      <c r="A76" s="227"/>
      <c r="B76" s="241"/>
      <c r="C76" s="23" t="s">
        <v>219</v>
      </c>
      <c r="D76" s="24" t="s">
        <v>220</v>
      </c>
      <c r="E76" s="25">
        <v>520</v>
      </c>
      <c r="F76" s="26" t="s">
        <v>89</v>
      </c>
      <c r="G76" s="27">
        <f t="shared" si="67"/>
        <v>15000000</v>
      </c>
      <c r="H76" s="27"/>
      <c r="I76" s="39"/>
      <c r="J76" s="27"/>
      <c r="K76" s="27"/>
      <c r="L76" s="27">
        <f>5000000+10000000</f>
        <v>15000000</v>
      </c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64"/>
      <c r="AC76" s="29">
        <f t="shared" si="83"/>
        <v>0.92977500000000002</v>
      </c>
      <c r="AD76" s="27">
        <f t="shared" si="68"/>
        <v>13946625</v>
      </c>
      <c r="AE76" s="27"/>
      <c r="AF76" s="27"/>
      <c r="AG76" s="27"/>
      <c r="AH76" s="27"/>
      <c r="AI76" s="27">
        <f>+'[4]ABRIL 2016'!$G$1562</f>
        <v>13946625</v>
      </c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9">
        <f t="shared" si="84"/>
        <v>7.0224999999999982E-2</v>
      </c>
      <c r="AZ76" s="27">
        <f t="shared" si="69"/>
        <v>1053375</v>
      </c>
      <c r="BA76" s="27">
        <f t="shared" si="70"/>
        <v>0</v>
      </c>
      <c r="BB76" s="27">
        <f t="shared" si="71"/>
        <v>0</v>
      </c>
      <c r="BC76" s="27">
        <f t="shared" si="71"/>
        <v>0</v>
      </c>
      <c r="BD76" s="27">
        <f t="shared" si="71"/>
        <v>0</v>
      </c>
      <c r="BE76" s="27">
        <f t="shared" si="87"/>
        <v>1053375</v>
      </c>
      <c r="BF76" s="27"/>
      <c r="BG76" s="27"/>
      <c r="BH76" s="27"/>
      <c r="BI76" s="27"/>
      <c r="BJ76" s="27"/>
      <c r="BK76" s="27">
        <f t="shared" si="87"/>
        <v>0</v>
      </c>
      <c r="BL76" s="27">
        <f t="shared" si="87"/>
        <v>0</v>
      </c>
      <c r="BM76" s="27">
        <f t="shared" si="87"/>
        <v>0</v>
      </c>
      <c r="BN76" s="27">
        <f t="shared" si="87"/>
        <v>0</v>
      </c>
      <c r="BO76" s="27">
        <f t="shared" si="87"/>
        <v>0</v>
      </c>
      <c r="BP76" s="27">
        <f t="shared" si="87"/>
        <v>0</v>
      </c>
      <c r="BQ76" s="27"/>
      <c r="BR76" s="27"/>
      <c r="BS76" s="27">
        <f t="shared" si="73"/>
        <v>0</v>
      </c>
      <c r="BT76" s="27">
        <f t="shared" si="88"/>
        <v>0</v>
      </c>
      <c r="BU76" s="29">
        <f t="shared" si="85"/>
        <v>0.92977500000000002</v>
      </c>
      <c r="BV76" s="27">
        <f t="shared" si="75"/>
        <v>13946625</v>
      </c>
      <c r="BW76" s="27"/>
      <c r="BX76" s="27"/>
      <c r="BY76" s="27"/>
      <c r="BZ76" s="27"/>
      <c r="CA76" s="27">
        <v>13946625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9">
        <f t="shared" si="76"/>
        <v>7.0224999999999982E-2</v>
      </c>
      <c r="CR76" s="27">
        <f t="shared" si="77"/>
        <v>1053375</v>
      </c>
      <c r="CS76" s="27">
        <f t="shared" si="92"/>
        <v>0</v>
      </c>
      <c r="CT76" s="27">
        <f t="shared" si="92"/>
        <v>0</v>
      </c>
      <c r="CU76" s="27">
        <f t="shared" si="92"/>
        <v>0</v>
      </c>
      <c r="CV76" s="27">
        <f t="shared" si="92"/>
        <v>0</v>
      </c>
      <c r="CW76" s="27">
        <f t="shared" si="92"/>
        <v>1053375</v>
      </c>
      <c r="CX76" s="27"/>
      <c r="CY76" s="27"/>
      <c r="CZ76" s="27"/>
      <c r="DA76" s="27"/>
      <c r="DB76" s="27"/>
      <c r="DC76" s="27">
        <f t="shared" si="80"/>
        <v>0</v>
      </c>
      <c r="DD76" s="27">
        <f t="shared" si="80"/>
        <v>0</v>
      </c>
      <c r="DE76" s="27">
        <f t="shared" si="80"/>
        <v>0</v>
      </c>
      <c r="DF76" s="27">
        <f t="shared" si="90"/>
        <v>0</v>
      </c>
      <c r="DG76" s="27">
        <f t="shared" si="90"/>
        <v>0</v>
      </c>
      <c r="DH76" s="27">
        <f t="shared" si="90"/>
        <v>0</v>
      </c>
      <c r="DI76" s="27"/>
      <c r="DJ76" s="27"/>
      <c r="DK76" s="61"/>
      <c r="DL76" s="27">
        <f t="shared" si="91"/>
        <v>0</v>
      </c>
      <c r="DN76" s="193"/>
      <c r="DO76" s="193"/>
      <c r="DP76" s="193"/>
      <c r="DQ76" s="193"/>
      <c r="DR76" s="193"/>
    </row>
    <row r="77" spans="1:122" ht="27.75" hidden="1" customHeight="1" x14ac:dyDescent="0.25">
      <c r="A77" s="227"/>
      <c r="B77" s="242"/>
      <c r="C77" s="23" t="s">
        <v>221</v>
      </c>
      <c r="D77" s="24" t="s">
        <v>222</v>
      </c>
      <c r="E77" s="25">
        <v>520</v>
      </c>
      <c r="F77" s="26" t="s">
        <v>89</v>
      </c>
      <c r="G77" s="27">
        <f t="shared" si="67"/>
        <v>5000000</v>
      </c>
      <c r="H77" s="27"/>
      <c r="I77" s="39"/>
      <c r="J77" s="27"/>
      <c r="K77" s="27"/>
      <c r="L77" s="27">
        <v>5000000</v>
      </c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64"/>
      <c r="AC77" s="29">
        <f t="shared" si="83"/>
        <v>0.439801</v>
      </c>
      <c r="AD77" s="27">
        <f t="shared" si="68"/>
        <v>2199005</v>
      </c>
      <c r="AE77" s="27"/>
      <c r="AF77" s="27"/>
      <c r="AG77" s="27"/>
      <c r="AH77" s="27"/>
      <c r="AI77" s="27">
        <f>+'[1]JUNIO 2016'!$G$2068</f>
        <v>2199005</v>
      </c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9">
        <f t="shared" si="84"/>
        <v>0.560199</v>
      </c>
      <c r="AZ77" s="27">
        <f t="shared" si="69"/>
        <v>2800995</v>
      </c>
      <c r="BA77" s="27">
        <f t="shared" si="70"/>
        <v>0</v>
      </c>
      <c r="BB77" s="27">
        <f t="shared" si="71"/>
        <v>0</v>
      </c>
      <c r="BC77" s="27">
        <f t="shared" si="71"/>
        <v>0</v>
      </c>
      <c r="BD77" s="27">
        <f t="shared" si="71"/>
        <v>0</v>
      </c>
      <c r="BE77" s="27">
        <f t="shared" si="87"/>
        <v>2800995</v>
      </c>
      <c r="BF77" s="27"/>
      <c r="BG77" s="27"/>
      <c r="BH77" s="27"/>
      <c r="BI77" s="27"/>
      <c r="BJ77" s="27"/>
      <c r="BK77" s="27">
        <f t="shared" si="87"/>
        <v>0</v>
      </c>
      <c r="BL77" s="27">
        <f t="shared" si="87"/>
        <v>0</v>
      </c>
      <c r="BM77" s="27">
        <f t="shared" si="87"/>
        <v>0</v>
      </c>
      <c r="BN77" s="27">
        <f t="shared" si="87"/>
        <v>0</v>
      </c>
      <c r="BO77" s="27">
        <f t="shared" si="87"/>
        <v>0</v>
      </c>
      <c r="BP77" s="27">
        <f t="shared" si="87"/>
        <v>0</v>
      </c>
      <c r="BQ77" s="27"/>
      <c r="BR77" s="27"/>
      <c r="BS77" s="27">
        <f t="shared" si="73"/>
        <v>0</v>
      </c>
      <c r="BT77" s="27">
        <f t="shared" si="88"/>
        <v>0</v>
      </c>
      <c r="BU77" s="29">
        <f t="shared" si="85"/>
        <v>0.439801</v>
      </c>
      <c r="BV77" s="27">
        <f t="shared" si="75"/>
        <v>2199005</v>
      </c>
      <c r="BW77" s="27"/>
      <c r="BX77" s="27"/>
      <c r="BY77" s="27"/>
      <c r="BZ77" s="27"/>
      <c r="CA77" s="27">
        <f>+'[1]JUNIO 2016'!$H$2068</f>
        <v>2199005</v>
      </c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9">
        <f t="shared" si="76"/>
        <v>0.560199</v>
      </c>
      <c r="CR77" s="27">
        <f t="shared" si="77"/>
        <v>2800995</v>
      </c>
      <c r="CS77" s="27">
        <f t="shared" si="92"/>
        <v>0</v>
      </c>
      <c r="CT77" s="27">
        <f t="shared" si="92"/>
        <v>0</v>
      </c>
      <c r="CU77" s="27">
        <f t="shared" si="92"/>
        <v>0</v>
      </c>
      <c r="CV77" s="27">
        <f t="shared" si="92"/>
        <v>0</v>
      </c>
      <c r="CW77" s="27">
        <f t="shared" si="92"/>
        <v>2800995</v>
      </c>
      <c r="CX77" s="27"/>
      <c r="CY77" s="27"/>
      <c r="CZ77" s="27"/>
      <c r="DA77" s="27"/>
      <c r="DB77" s="27"/>
      <c r="DC77" s="27">
        <f t="shared" si="80"/>
        <v>0</v>
      </c>
      <c r="DD77" s="27">
        <f t="shared" si="80"/>
        <v>0</v>
      </c>
      <c r="DE77" s="27">
        <f t="shared" si="80"/>
        <v>0</v>
      </c>
      <c r="DF77" s="27">
        <f t="shared" si="90"/>
        <v>0</v>
      </c>
      <c r="DG77" s="27">
        <f t="shared" si="90"/>
        <v>0</v>
      </c>
      <c r="DH77" s="27">
        <f t="shared" si="90"/>
        <v>0</v>
      </c>
      <c r="DI77" s="27"/>
      <c r="DJ77" s="27"/>
      <c r="DK77" s="61"/>
      <c r="DL77" s="27">
        <f t="shared" si="91"/>
        <v>0</v>
      </c>
      <c r="DN77" s="193"/>
      <c r="DO77" s="193"/>
      <c r="DP77" s="193"/>
      <c r="DQ77" s="193"/>
      <c r="DR77" s="193"/>
    </row>
    <row r="78" spans="1:122" ht="34.5" hidden="1" customHeight="1" x14ac:dyDescent="0.25">
      <c r="A78" s="227"/>
      <c r="B78" s="229" t="s">
        <v>223</v>
      </c>
      <c r="C78" s="23" t="s">
        <v>224</v>
      </c>
      <c r="D78" s="24" t="s">
        <v>225</v>
      </c>
      <c r="E78" s="25">
        <v>520</v>
      </c>
      <c r="F78" s="26" t="s">
        <v>89</v>
      </c>
      <c r="G78" s="27">
        <f t="shared" si="67"/>
        <v>10000000</v>
      </c>
      <c r="H78" s="27"/>
      <c r="I78" s="39"/>
      <c r="J78" s="27"/>
      <c r="K78" s="27"/>
      <c r="L78" s="27">
        <v>10000000</v>
      </c>
      <c r="M78" s="27"/>
      <c r="N78" s="27"/>
      <c r="O78" s="27"/>
      <c r="P78" s="27"/>
      <c r="Q78" s="27"/>
      <c r="R78" s="27"/>
      <c r="S78" s="27"/>
      <c r="T78" s="52"/>
      <c r="U78" s="27"/>
      <c r="V78" s="27"/>
      <c r="W78" s="27"/>
      <c r="X78" s="27"/>
      <c r="Y78" s="27"/>
      <c r="Z78" s="27"/>
      <c r="AA78" s="27"/>
      <c r="AB78" s="64"/>
      <c r="AC78" s="29">
        <f t="shared" si="83"/>
        <v>0.38800000000000001</v>
      </c>
      <c r="AD78" s="27">
        <f t="shared" si="68"/>
        <v>3880000</v>
      </c>
      <c r="AE78" s="27"/>
      <c r="AF78" s="27"/>
      <c r="AG78" s="27"/>
      <c r="AH78" s="27"/>
      <c r="AI78" s="27">
        <f>+'[3]MAYO 2016'!$O$1817</f>
        <v>3880000</v>
      </c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9">
        <f t="shared" si="84"/>
        <v>0.61199999999999999</v>
      </c>
      <c r="AZ78" s="27">
        <f t="shared" si="69"/>
        <v>6120000</v>
      </c>
      <c r="BA78" s="27">
        <f t="shared" si="70"/>
        <v>0</v>
      </c>
      <c r="BB78" s="27">
        <f t="shared" si="71"/>
        <v>0</v>
      </c>
      <c r="BC78" s="27">
        <f t="shared" si="71"/>
        <v>0</v>
      </c>
      <c r="BD78" s="27">
        <f t="shared" si="71"/>
        <v>0</v>
      </c>
      <c r="BE78" s="27">
        <f t="shared" si="87"/>
        <v>6120000</v>
      </c>
      <c r="BF78" s="27">
        <f t="shared" si="87"/>
        <v>0</v>
      </c>
      <c r="BG78" s="27">
        <f t="shared" si="87"/>
        <v>0</v>
      </c>
      <c r="BH78" s="27">
        <f t="shared" si="87"/>
        <v>0</v>
      </c>
      <c r="BI78" s="27">
        <f t="shared" si="87"/>
        <v>0</v>
      </c>
      <c r="BJ78" s="27">
        <f t="shared" si="87"/>
        <v>0</v>
      </c>
      <c r="BK78" s="27">
        <f t="shared" si="87"/>
        <v>0</v>
      </c>
      <c r="BL78" s="27">
        <f t="shared" si="87"/>
        <v>0</v>
      </c>
      <c r="BM78" s="27">
        <f t="shared" si="87"/>
        <v>0</v>
      </c>
      <c r="BN78" s="27">
        <f t="shared" si="87"/>
        <v>0</v>
      </c>
      <c r="BO78" s="27">
        <f t="shared" si="87"/>
        <v>0</v>
      </c>
      <c r="BP78" s="27">
        <f t="shared" si="87"/>
        <v>0</v>
      </c>
      <c r="BQ78" s="27"/>
      <c r="BR78" s="27"/>
      <c r="BS78" s="27">
        <f t="shared" si="73"/>
        <v>0</v>
      </c>
      <c r="BT78" s="27">
        <f t="shared" si="88"/>
        <v>0</v>
      </c>
      <c r="BU78" s="29">
        <f t="shared" si="85"/>
        <v>0.38800000000000001</v>
      </c>
      <c r="BV78" s="27">
        <f t="shared" si="75"/>
        <v>3880000</v>
      </c>
      <c r="BW78" s="27"/>
      <c r="BX78" s="27"/>
      <c r="BY78" s="27"/>
      <c r="BZ78" s="27"/>
      <c r="CA78" s="27">
        <f>+'[1]JUNIO 2016'!$O$2080</f>
        <v>3880000</v>
      </c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9">
        <f t="shared" si="76"/>
        <v>0.61199999999999999</v>
      </c>
      <c r="CR78" s="27">
        <f t="shared" si="77"/>
        <v>6120000</v>
      </c>
      <c r="CS78" s="27">
        <f t="shared" si="92"/>
        <v>0</v>
      </c>
      <c r="CT78" s="27">
        <f t="shared" si="92"/>
        <v>0</v>
      </c>
      <c r="CU78" s="27">
        <f t="shared" si="92"/>
        <v>0</v>
      </c>
      <c r="CV78" s="27">
        <f t="shared" si="92"/>
        <v>0</v>
      </c>
      <c r="CW78" s="27">
        <f t="shared" si="92"/>
        <v>6120000</v>
      </c>
      <c r="CX78" s="27">
        <f t="shared" si="92"/>
        <v>0</v>
      </c>
      <c r="CY78" s="27">
        <f t="shared" si="92"/>
        <v>0</v>
      </c>
      <c r="CZ78" s="27">
        <f t="shared" ref="CZ78:DB82" si="93">+O78-CD78</f>
        <v>0</v>
      </c>
      <c r="DA78" s="27">
        <f t="shared" si="93"/>
        <v>0</v>
      </c>
      <c r="DB78" s="27">
        <f t="shared" si="93"/>
        <v>0</v>
      </c>
      <c r="DC78" s="27">
        <f t="shared" si="80"/>
        <v>0</v>
      </c>
      <c r="DD78" s="27">
        <f t="shared" si="80"/>
        <v>0</v>
      </c>
      <c r="DE78" s="27">
        <f t="shared" si="80"/>
        <v>0</v>
      </c>
      <c r="DF78" s="27">
        <f t="shared" si="90"/>
        <v>0</v>
      </c>
      <c r="DG78" s="27">
        <f t="shared" si="90"/>
        <v>0</v>
      </c>
      <c r="DH78" s="27">
        <f t="shared" si="90"/>
        <v>0</v>
      </c>
      <c r="DI78" s="27"/>
      <c r="DJ78" s="27">
        <f t="shared" ref="DJ78:DK82" si="94">+Y78-CN78</f>
        <v>0</v>
      </c>
      <c r="DK78" s="61">
        <f t="shared" si="94"/>
        <v>0</v>
      </c>
      <c r="DL78" s="27">
        <f t="shared" si="91"/>
        <v>0</v>
      </c>
      <c r="DN78" s="193"/>
      <c r="DO78" s="193"/>
      <c r="DP78" s="193"/>
      <c r="DQ78" s="193"/>
      <c r="DR78" s="193"/>
    </row>
    <row r="79" spans="1:122" ht="30.75" hidden="1" customHeight="1" x14ac:dyDescent="0.25">
      <c r="A79" s="227"/>
      <c r="B79" s="231"/>
      <c r="C79" s="23" t="s">
        <v>226</v>
      </c>
      <c r="D79" s="24" t="s">
        <v>227</v>
      </c>
      <c r="E79" s="25">
        <v>520</v>
      </c>
      <c r="F79" s="26" t="s">
        <v>89</v>
      </c>
      <c r="G79" s="27">
        <f t="shared" si="67"/>
        <v>10000000</v>
      </c>
      <c r="H79" s="27"/>
      <c r="I79" s="39"/>
      <c r="J79" s="39"/>
      <c r="K79" s="39"/>
      <c r="L79" s="27">
        <v>10000000</v>
      </c>
      <c r="M79" s="39"/>
      <c r="N79" s="39"/>
      <c r="O79" s="39"/>
      <c r="P79" s="39"/>
      <c r="Q79" s="39"/>
      <c r="R79" s="32"/>
      <c r="S79" s="39"/>
      <c r="T79" s="52"/>
      <c r="U79" s="39"/>
      <c r="V79" s="39"/>
      <c r="W79" s="39"/>
      <c r="X79" s="39"/>
      <c r="Y79" s="39"/>
      <c r="Z79" s="39"/>
      <c r="AA79" s="71"/>
      <c r="AB79" s="64"/>
      <c r="AC79" s="29">
        <f t="shared" si="83"/>
        <v>0</v>
      </c>
      <c r="AD79" s="27">
        <f t="shared" si="68"/>
        <v>0</v>
      </c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9">
        <f t="shared" si="84"/>
        <v>1</v>
      </c>
      <c r="AZ79" s="27">
        <f t="shared" si="69"/>
        <v>10000000</v>
      </c>
      <c r="BA79" s="27">
        <f t="shared" si="70"/>
        <v>0</v>
      </c>
      <c r="BB79" s="27">
        <f t="shared" si="71"/>
        <v>0</v>
      </c>
      <c r="BC79" s="27">
        <f t="shared" si="71"/>
        <v>0</v>
      </c>
      <c r="BD79" s="27">
        <f t="shared" si="71"/>
        <v>0</v>
      </c>
      <c r="BE79" s="27">
        <f t="shared" si="87"/>
        <v>10000000</v>
      </c>
      <c r="BF79" s="27">
        <f t="shared" si="87"/>
        <v>0</v>
      </c>
      <c r="BG79" s="27">
        <f t="shared" si="87"/>
        <v>0</v>
      </c>
      <c r="BH79" s="27">
        <f t="shared" si="87"/>
        <v>0</v>
      </c>
      <c r="BI79" s="27">
        <f t="shared" si="87"/>
        <v>0</v>
      </c>
      <c r="BJ79" s="27">
        <f t="shared" si="87"/>
        <v>0</v>
      </c>
      <c r="BK79" s="27">
        <f t="shared" si="87"/>
        <v>0</v>
      </c>
      <c r="BL79" s="27">
        <f t="shared" si="87"/>
        <v>0</v>
      </c>
      <c r="BM79" s="27">
        <f t="shared" si="87"/>
        <v>0</v>
      </c>
      <c r="BN79" s="27">
        <f t="shared" si="87"/>
        <v>0</v>
      </c>
      <c r="BO79" s="27">
        <f t="shared" si="87"/>
        <v>0</v>
      </c>
      <c r="BP79" s="27">
        <f t="shared" si="87"/>
        <v>0</v>
      </c>
      <c r="BQ79" s="27"/>
      <c r="BR79" s="27"/>
      <c r="BS79" s="27">
        <f t="shared" si="73"/>
        <v>0</v>
      </c>
      <c r="BT79" s="27">
        <f t="shared" si="88"/>
        <v>0</v>
      </c>
      <c r="BU79" s="29">
        <f t="shared" si="85"/>
        <v>0</v>
      </c>
      <c r="BV79" s="27">
        <f t="shared" si="75"/>
        <v>0</v>
      </c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9">
        <f t="shared" si="76"/>
        <v>1</v>
      </c>
      <c r="CR79" s="27">
        <f t="shared" si="77"/>
        <v>10000000</v>
      </c>
      <c r="CS79" s="27">
        <f t="shared" si="92"/>
        <v>0</v>
      </c>
      <c r="CT79" s="27">
        <f t="shared" si="92"/>
        <v>0</v>
      </c>
      <c r="CU79" s="27">
        <f t="shared" si="92"/>
        <v>0</v>
      </c>
      <c r="CV79" s="27">
        <f t="shared" si="92"/>
        <v>0</v>
      </c>
      <c r="CW79" s="27">
        <f t="shared" si="92"/>
        <v>10000000</v>
      </c>
      <c r="CX79" s="27">
        <f t="shared" si="92"/>
        <v>0</v>
      </c>
      <c r="CY79" s="27">
        <f t="shared" si="92"/>
        <v>0</v>
      </c>
      <c r="CZ79" s="27">
        <f t="shared" si="93"/>
        <v>0</v>
      </c>
      <c r="DA79" s="27">
        <f t="shared" si="93"/>
        <v>0</v>
      </c>
      <c r="DB79" s="27">
        <f t="shared" si="93"/>
        <v>0</v>
      </c>
      <c r="DC79" s="27">
        <f t="shared" si="80"/>
        <v>0</v>
      </c>
      <c r="DD79" s="27">
        <f t="shared" si="80"/>
        <v>0</v>
      </c>
      <c r="DE79" s="27">
        <f t="shared" si="80"/>
        <v>0</v>
      </c>
      <c r="DF79" s="27">
        <f t="shared" si="90"/>
        <v>0</v>
      </c>
      <c r="DG79" s="27">
        <f t="shared" si="90"/>
        <v>0</v>
      </c>
      <c r="DH79" s="27">
        <f t="shared" si="90"/>
        <v>0</v>
      </c>
      <c r="DI79" s="27"/>
      <c r="DJ79" s="27">
        <f t="shared" si="94"/>
        <v>0</v>
      </c>
      <c r="DK79" s="61">
        <f t="shared" si="94"/>
        <v>0</v>
      </c>
      <c r="DL79" s="27">
        <f t="shared" si="91"/>
        <v>0</v>
      </c>
      <c r="DN79" s="193"/>
      <c r="DO79" s="193"/>
      <c r="DP79" s="193"/>
      <c r="DQ79" s="193"/>
      <c r="DR79" s="193"/>
    </row>
    <row r="80" spans="1:122" ht="35.25" hidden="1" customHeight="1" x14ac:dyDescent="0.25">
      <c r="A80" s="227"/>
      <c r="B80" s="229" t="s">
        <v>228</v>
      </c>
      <c r="C80" s="23" t="s">
        <v>229</v>
      </c>
      <c r="D80" s="72" t="s">
        <v>230</v>
      </c>
      <c r="E80" s="25">
        <v>520</v>
      </c>
      <c r="F80" s="73" t="s">
        <v>89</v>
      </c>
      <c r="G80" s="27">
        <f t="shared" si="67"/>
        <v>35000000</v>
      </c>
      <c r="H80" s="27"/>
      <c r="I80" s="39"/>
      <c r="J80" s="39"/>
      <c r="K80" s="39"/>
      <c r="L80" s="52">
        <v>10000000</v>
      </c>
      <c r="M80" s="39"/>
      <c r="N80" s="39"/>
      <c r="O80" s="39"/>
      <c r="P80" s="39"/>
      <c r="Q80" s="39"/>
      <c r="R80" s="32"/>
      <c r="S80" s="39"/>
      <c r="T80" s="52">
        <v>25000000</v>
      </c>
      <c r="U80" s="39"/>
      <c r="V80" s="39"/>
      <c r="W80" s="39"/>
      <c r="X80" s="39"/>
      <c r="Y80" s="39"/>
      <c r="Z80" s="39"/>
      <c r="AA80" s="71"/>
      <c r="AB80" s="64"/>
      <c r="AC80" s="29">
        <f t="shared" si="83"/>
        <v>0.2857142857142857</v>
      </c>
      <c r="AD80" s="27">
        <f t="shared" si="68"/>
        <v>10000000</v>
      </c>
      <c r="AE80" s="27"/>
      <c r="AF80" s="27"/>
      <c r="AG80" s="27"/>
      <c r="AH80" s="27"/>
      <c r="AI80" s="27">
        <f>+'[5]ENERO 2016'!$O$816</f>
        <v>10000000</v>
      </c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9">
        <f t="shared" si="84"/>
        <v>0.7142857142857143</v>
      </c>
      <c r="AZ80" s="27">
        <f t="shared" si="69"/>
        <v>25000000</v>
      </c>
      <c r="BA80" s="27">
        <f t="shared" si="70"/>
        <v>0</v>
      </c>
      <c r="BB80" s="27">
        <f t="shared" si="71"/>
        <v>0</v>
      </c>
      <c r="BC80" s="27">
        <f t="shared" si="71"/>
        <v>0</v>
      </c>
      <c r="BD80" s="27">
        <f t="shared" si="71"/>
        <v>0</v>
      </c>
      <c r="BE80" s="27">
        <f t="shared" si="87"/>
        <v>0</v>
      </c>
      <c r="BF80" s="27">
        <f t="shared" si="87"/>
        <v>0</v>
      </c>
      <c r="BG80" s="27">
        <f t="shared" si="87"/>
        <v>0</v>
      </c>
      <c r="BH80" s="27">
        <f t="shared" si="87"/>
        <v>0</v>
      </c>
      <c r="BI80" s="27">
        <f t="shared" si="87"/>
        <v>0</v>
      </c>
      <c r="BJ80" s="27">
        <f t="shared" si="87"/>
        <v>0</v>
      </c>
      <c r="BK80" s="27">
        <f t="shared" si="87"/>
        <v>0</v>
      </c>
      <c r="BL80" s="27">
        <f t="shared" si="87"/>
        <v>0</v>
      </c>
      <c r="BM80" s="27">
        <f t="shared" si="87"/>
        <v>25000000</v>
      </c>
      <c r="BN80" s="27">
        <f t="shared" si="87"/>
        <v>0</v>
      </c>
      <c r="BO80" s="27">
        <f t="shared" si="87"/>
        <v>0</v>
      </c>
      <c r="BP80" s="27">
        <f t="shared" si="87"/>
        <v>0</v>
      </c>
      <c r="BQ80" s="27"/>
      <c r="BR80" s="27"/>
      <c r="BS80" s="27">
        <f t="shared" si="73"/>
        <v>0</v>
      </c>
      <c r="BT80" s="27">
        <f t="shared" si="88"/>
        <v>0</v>
      </c>
      <c r="BU80" s="29">
        <f t="shared" si="85"/>
        <v>0.2857142857142857</v>
      </c>
      <c r="BV80" s="27">
        <f t="shared" si="75"/>
        <v>10000000</v>
      </c>
      <c r="BW80" s="27"/>
      <c r="BX80" s="27"/>
      <c r="BY80" s="27"/>
      <c r="BZ80" s="27"/>
      <c r="CA80" s="27">
        <v>10000000</v>
      </c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9">
        <f t="shared" si="76"/>
        <v>0.7142857142857143</v>
      </c>
      <c r="CR80" s="27">
        <f t="shared" si="77"/>
        <v>25000000</v>
      </c>
      <c r="CS80" s="27">
        <f t="shared" si="92"/>
        <v>0</v>
      </c>
      <c r="CT80" s="27">
        <f t="shared" si="92"/>
        <v>0</v>
      </c>
      <c r="CU80" s="27">
        <f t="shared" si="92"/>
        <v>0</v>
      </c>
      <c r="CV80" s="27">
        <f t="shared" si="92"/>
        <v>0</v>
      </c>
      <c r="CW80" s="27">
        <f t="shared" si="92"/>
        <v>0</v>
      </c>
      <c r="CX80" s="27">
        <f t="shared" si="92"/>
        <v>0</v>
      </c>
      <c r="CY80" s="27">
        <f t="shared" si="92"/>
        <v>0</v>
      </c>
      <c r="CZ80" s="27">
        <f t="shared" si="93"/>
        <v>0</v>
      </c>
      <c r="DA80" s="27">
        <f t="shared" si="93"/>
        <v>0</v>
      </c>
      <c r="DB80" s="27">
        <f t="shared" si="93"/>
        <v>0</v>
      </c>
      <c r="DC80" s="27">
        <f t="shared" si="80"/>
        <v>0</v>
      </c>
      <c r="DD80" s="27">
        <f t="shared" si="80"/>
        <v>0</v>
      </c>
      <c r="DE80" s="27">
        <f t="shared" si="80"/>
        <v>25000000</v>
      </c>
      <c r="DF80" s="27">
        <f t="shared" si="90"/>
        <v>0</v>
      </c>
      <c r="DG80" s="27">
        <f t="shared" si="90"/>
        <v>0</v>
      </c>
      <c r="DH80" s="27">
        <f t="shared" si="90"/>
        <v>0</v>
      </c>
      <c r="DI80" s="27"/>
      <c r="DJ80" s="27">
        <f t="shared" si="94"/>
        <v>0</v>
      </c>
      <c r="DK80" s="61">
        <f t="shared" si="94"/>
        <v>0</v>
      </c>
      <c r="DL80" s="27">
        <f t="shared" si="91"/>
        <v>0</v>
      </c>
      <c r="DN80" s="193"/>
      <c r="DO80" s="193"/>
      <c r="DP80" s="193"/>
      <c r="DQ80" s="193"/>
      <c r="DR80" s="193"/>
    </row>
    <row r="81" spans="1:123" ht="24.75" hidden="1" customHeight="1" x14ac:dyDescent="0.25">
      <c r="A81" s="227"/>
      <c r="B81" s="230"/>
      <c r="C81" s="23" t="s">
        <v>231</v>
      </c>
      <c r="D81" s="72" t="s">
        <v>232</v>
      </c>
      <c r="E81" s="25">
        <v>520</v>
      </c>
      <c r="F81" s="73" t="s">
        <v>89</v>
      </c>
      <c r="G81" s="27">
        <f t="shared" si="67"/>
        <v>20000000</v>
      </c>
      <c r="H81" s="27"/>
      <c r="I81" s="39"/>
      <c r="J81" s="39"/>
      <c r="K81" s="39"/>
      <c r="L81" s="52">
        <v>10000000</v>
      </c>
      <c r="M81" s="39"/>
      <c r="N81" s="39"/>
      <c r="O81" s="39"/>
      <c r="P81" s="39"/>
      <c r="Q81" s="39"/>
      <c r="R81" s="32"/>
      <c r="S81" s="39"/>
      <c r="T81" s="52">
        <v>10000000</v>
      </c>
      <c r="U81" s="39"/>
      <c r="V81" s="39"/>
      <c r="W81" s="39"/>
      <c r="X81" s="39"/>
      <c r="Y81" s="39"/>
      <c r="Z81" s="39"/>
      <c r="AA81" s="71"/>
      <c r="AB81" s="64"/>
      <c r="AC81" s="29">
        <f t="shared" si="83"/>
        <v>3.0393699999999999E-2</v>
      </c>
      <c r="AD81" s="27">
        <f t="shared" si="68"/>
        <v>607874</v>
      </c>
      <c r="AE81" s="27"/>
      <c r="AF81" s="27"/>
      <c r="AG81" s="27"/>
      <c r="AH81" s="27"/>
      <c r="AI81" s="27">
        <f>+'[4]ABRIL 2016'!$O$1597</f>
        <v>607874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9">
        <f t="shared" si="84"/>
        <v>0.96960630000000003</v>
      </c>
      <c r="AZ81" s="27">
        <f t="shared" si="69"/>
        <v>19392126</v>
      </c>
      <c r="BA81" s="27">
        <f t="shared" si="70"/>
        <v>0</v>
      </c>
      <c r="BB81" s="27">
        <f t="shared" si="71"/>
        <v>0</v>
      </c>
      <c r="BC81" s="27">
        <f t="shared" si="71"/>
        <v>0</v>
      </c>
      <c r="BD81" s="27">
        <f t="shared" si="71"/>
        <v>0</v>
      </c>
      <c r="BE81" s="27">
        <f t="shared" si="87"/>
        <v>9392126</v>
      </c>
      <c r="BF81" s="27">
        <f t="shared" si="87"/>
        <v>0</v>
      </c>
      <c r="BG81" s="27">
        <f t="shared" si="87"/>
        <v>0</v>
      </c>
      <c r="BH81" s="27">
        <f t="shared" si="87"/>
        <v>0</v>
      </c>
      <c r="BI81" s="27">
        <f t="shared" si="87"/>
        <v>0</v>
      </c>
      <c r="BJ81" s="27">
        <f t="shared" si="87"/>
        <v>0</v>
      </c>
      <c r="BK81" s="27">
        <f t="shared" si="87"/>
        <v>0</v>
      </c>
      <c r="BL81" s="27">
        <f t="shared" si="87"/>
        <v>0</v>
      </c>
      <c r="BM81" s="27">
        <f t="shared" si="87"/>
        <v>10000000</v>
      </c>
      <c r="BN81" s="27">
        <f t="shared" si="87"/>
        <v>0</v>
      </c>
      <c r="BO81" s="27">
        <f t="shared" si="87"/>
        <v>0</v>
      </c>
      <c r="BP81" s="27">
        <f t="shared" si="87"/>
        <v>0</v>
      </c>
      <c r="BQ81" s="27"/>
      <c r="BR81" s="27"/>
      <c r="BS81" s="27">
        <f t="shared" si="73"/>
        <v>0</v>
      </c>
      <c r="BT81" s="27">
        <f t="shared" si="88"/>
        <v>0</v>
      </c>
      <c r="BU81" s="29">
        <f t="shared" si="85"/>
        <v>3.0393699999999999E-2</v>
      </c>
      <c r="BV81" s="27">
        <f t="shared" si="75"/>
        <v>607874</v>
      </c>
      <c r="BW81" s="27"/>
      <c r="BX81" s="27"/>
      <c r="BY81" s="27"/>
      <c r="BZ81" s="27"/>
      <c r="CA81" s="27">
        <f>+'[4]ABRIL 2016'!$H$1595</f>
        <v>607874</v>
      </c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9">
        <f t="shared" si="76"/>
        <v>0.96960630000000003</v>
      </c>
      <c r="CR81" s="27">
        <f t="shared" si="77"/>
        <v>19392126</v>
      </c>
      <c r="CS81" s="27">
        <f t="shared" si="92"/>
        <v>0</v>
      </c>
      <c r="CT81" s="27">
        <f t="shared" si="92"/>
        <v>0</v>
      </c>
      <c r="CU81" s="27">
        <f t="shared" si="92"/>
        <v>0</v>
      </c>
      <c r="CV81" s="27">
        <f t="shared" si="92"/>
        <v>0</v>
      </c>
      <c r="CW81" s="27">
        <f t="shared" si="92"/>
        <v>9392126</v>
      </c>
      <c r="CX81" s="27">
        <f t="shared" si="92"/>
        <v>0</v>
      </c>
      <c r="CY81" s="27">
        <f t="shared" si="92"/>
        <v>0</v>
      </c>
      <c r="CZ81" s="27">
        <f t="shared" si="93"/>
        <v>0</v>
      </c>
      <c r="DA81" s="27">
        <f t="shared" si="93"/>
        <v>0</v>
      </c>
      <c r="DB81" s="27">
        <f t="shared" si="93"/>
        <v>0</v>
      </c>
      <c r="DC81" s="27">
        <f t="shared" si="80"/>
        <v>0</v>
      </c>
      <c r="DD81" s="27">
        <f t="shared" si="80"/>
        <v>0</v>
      </c>
      <c r="DE81" s="27">
        <f t="shared" si="80"/>
        <v>10000000</v>
      </c>
      <c r="DF81" s="27">
        <f t="shared" si="90"/>
        <v>0</v>
      </c>
      <c r="DG81" s="27">
        <f t="shared" si="90"/>
        <v>0</v>
      </c>
      <c r="DH81" s="27">
        <f t="shared" si="90"/>
        <v>0</v>
      </c>
      <c r="DI81" s="27"/>
      <c r="DJ81" s="27">
        <f t="shared" si="94"/>
        <v>0</v>
      </c>
      <c r="DK81" s="61">
        <f t="shared" si="94"/>
        <v>0</v>
      </c>
      <c r="DL81" s="27">
        <f t="shared" si="91"/>
        <v>0</v>
      </c>
      <c r="DN81" s="193"/>
      <c r="DO81" s="193"/>
      <c r="DP81" s="193"/>
      <c r="DQ81" s="193"/>
      <c r="DR81" s="193"/>
    </row>
    <row r="82" spans="1:123" ht="24.75" hidden="1" customHeight="1" x14ac:dyDescent="0.25">
      <c r="A82" s="227"/>
      <c r="B82" s="230"/>
      <c r="C82" s="23" t="s">
        <v>233</v>
      </c>
      <c r="D82" s="72" t="s">
        <v>234</v>
      </c>
      <c r="E82" s="25">
        <v>520</v>
      </c>
      <c r="F82" s="73" t="s">
        <v>89</v>
      </c>
      <c r="G82" s="27">
        <f t="shared" si="67"/>
        <v>5000000</v>
      </c>
      <c r="H82" s="27"/>
      <c r="I82" s="39"/>
      <c r="J82" s="39"/>
      <c r="K82" s="39"/>
      <c r="L82" s="27">
        <v>1098558</v>
      </c>
      <c r="M82" s="39"/>
      <c r="N82" s="39"/>
      <c r="O82" s="39"/>
      <c r="P82" s="39"/>
      <c r="Q82" s="39"/>
      <c r="R82" s="32"/>
      <c r="S82" s="39"/>
      <c r="T82" s="52">
        <f>48901442-45000000</f>
        <v>3901442</v>
      </c>
      <c r="U82" s="39"/>
      <c r="V82" s="39"/>
      <c r="W82" s="39"/>
      <c r="X82" s="39"/>
      <c r="Y82" s="39"/>
      <c r="Z82" s="39"/>
      <c r="AA82" s="71"/>
      <c r="AB82" s="64"/>
      <c r="AC82" s="29">
        <f t="shared" si="83"/>
        <v>0</v>
      </c>
      <c r="AD82" s="27">
        <f t="shared" si="68"/>
        <v>0</v>
      </c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9">
        <f t="shared" si="84"/>
        <v>1</v>
      </c>
      <c r="AZ82" s="27">
        <f t="shared" si="69"/>
        <v>5000000</v>
      </c>
      <c r="BA82" s="27">
        <f t="shared" si="70"/>
        <v>0</v>
      </c>
      <c r="BB82" s="27">
        <f t="shared" si="71"/>
        <v>0</v>
      </c>
      <c r="BC82" s="27">
        <f t="shared" si="71"/>
        <v>0</v>
      </c>
      <c r="BD82" s="27">
        <f t="shared" si="71"/>
        <v>0</v>
      </c>
      <c r="BE82" s="27">
        <f t="shared" si="87"/>
        <v>1098558</v>
      </c>
      <c r="BF82" s="27">
        <f t="shared" si="87"/>
        <v>0</v>
      </c>
      <c r="BG82" s="27">
        <f t="shared" si="87"/>
        <v>0</v>
      </c>
      <c r="BH82" s="27">
        <f t="shared" si="87"/>
        <v>0</v>
      </c>
      <c r="BI82" s="27">
        <f t="shared" si="87"/>
        <v>0</v>
      </c>
      <c r="BJ82" s="27">
        <f t="shared" si="87"/>
        <v>0</v>
      </c>
      <c r="BK82" s="27">
        <f t="shared" si="87"/>
        <v>0</v>
      </c>
      <c r="BL82" s="27">
        <f t="shared" si="87"/>
        <v>0</v>
      </c>
      <c r="BM82" s="27">
        <f t="shared" si="87"/>
        <v>3901442</v>
      </c>
      <c r="BN82" s="27">
        <f t="shared" si="87"/>
        <v>0</v>
      </c>
      <c r="BO82" s="27">
        <f t="shared" si="87"/>
        <v>0</v>
      </c>
      <c r="BP82" s="27">
        <f t="shared" si="87"/>
        <v>0</v>
      </c>
      <c r="BQ82" s="27"/>
      <c r="BR82" s="27"/>
      <c r="BS82" s="27">
        <f t="shared" si="73"/>
        <v>0</v>
      </c>
      <c r="BT82" s="27">
        <f t="shared" si="88"/>
        <v>0</v>
      </c>
      <c r="BU82" s="29">
        <f t="shared" si="85"/>
        <v>0</v>
      </c>
      <c r="BV82" s="27">
        <f t="shared" si="75"/>
        <v>0</v>
      </c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9">
        <f t="shared" si="76"/>
        <v>1</v>
      </c>
      <c r="CR82" s="27">
        <f t="shared" si="77"/>
        <v>5000000</v>
      </c>
      <c r="CS82" s="27">
        <f t="shared" si="92"/>
        <v>0</v>
      </c>
      <c r="CT82" s="27">
        <f t="shared" si="92"/>
        <v>0</v>
      </c>
      <c r="CU82" s="27">
        <f t="shared" si="92"/>
        <v>0</v>
      </c>
      <c r="CV82" s="27">
        <f t="shared" si="92"/>
        <v>0</v>
      </c>
      <c r="CW82" s="27">
        <f t="shared" si="92"/>
        <v>1098558</v>
      </c>
      <c r="CX82" s="27">
        <f t="shared" si="92"/>
        <v>0</v>
      </c>
      <c r="CY82" s="27">
        <f t="shared" si="92"/>
        <v>0</v>
      </c>
      <c r="CZ82" s="27">
        <f t="shared" si="93"/>
        <v>0</v>
      </c>
      <c r="DA82" s="27">
        <f t="shared" si="93"/>
        <v>0</v>
      </c>
      <c r="DB82" s="27">
        <f t="shared" si="93"/>
        <v>0</v>
      </c>
      <c r="DC82" s="27">
        <f t="shared" si="80"/>
        <v>0</v>
      </c>
      <c r="DD82" s="27">
        <f t="shared" si="80"/>
        <v>0</v>
      </c>
      <c r="DE82" s="27">
        <f t="shared" si="80"/>
        <v>3901442</v>
      </c>
      <c r="DF82" s="27">
        <f t="shared" si="90"/>
        <v>0</v>
      </c>
      <c r="DG82" s="27">
        <f t="shared" si="90"/>
        <v>0</v>
      </c>
      <c r="DH82" s="27">
        <f t="shared" si="90"/>
        <v>0</v>
      </c>
      <c r="DI82" s="27"/>
      <c r="DJ82" s="27">
        <f t="shared" si="94"/>
        <v>0</v>
      </c>
      <c r="DK82" s="61">
        <f t="shared" si="94"/>
        <v>0</v>
      </c>
      <c r="DL82" s="27">
        <f t="shared" si="91"/>
        <v>0</v>
      </c>
      <c r="DN82" s="193"/>
      <c r="DO82" s="193"/>
      <c r="DP82" s="193"/>
      <c r="DQ82" s="193"/>
      <c r="DR82" s="193"/>
    </row>
    <row r="83" spans="1:123" ht="21" hidden="1" customHeight="1" x14ac:dyDescent="0.25">
      <c r="A83" s="227"/>
      <c r="B83" s="231"/>
      <c r="C83" s="23" t="s">
        <v>235</v>
      </c>
      <c r="D83" s="72" t="s">
        <v>236</v>
      </c>
      <c r="E83" s="25">
        <v>520</v>
      </c>
      <c r="F83" s="73" t="s">
        <v>89</v>
      </c>
      <c r="G83" s="27">
        <f t="shared" si="67"/>
        <v>20000000</v>
      </c>
      <c r="H83" s="27"/>
      <c r="I83" s="39"/>
      <c r="J83" s="39"/>
      <c r="K83" s="39"/>
      <c r="L83" s="27">
        <v>10000000</v>
      </c>
      <c r="M83" s="39"/>
      <c r="N83" s="39"/>
      <c r="O83" s="39"/>
      <c r="P83" s="39"/>
      <c r="Q83" s="39"/>
      <c r="R83" s="32"/>
      <c r="S83" s="39"/>
      <c r="T83" s="52">
        <v>10000000</v>
      </c>
      <c r="U83" s="39"/>
      <c r="V83" s="39"/>
      <c r="W83" s="39"/>
      <c r="X83" s="39"/>
      <c r="Y83" s="39"/>
      <c r="Z83" s="39"/>
      <c r="AA83" s="71"/>
      <c r="AB83" s="64"/>
      <c r="AC83" s="29">
        <f t="shared" si="83"/>
        <v>0.70690160000000002</v>
      </c>
      <c r="AD83" s="27">
        <f t="shared" si="68"/>
        <v>14138032</v>
      </c>
      <c r="AE83" s="27"/>
      <c r="AF83" s="27"/>
      <c r="AG83" s="27"/>
      <c r="AH83" s="27"/>
      <c r="AI83" s="27">
        <f>+'[4]ABRIL 2016'!$O$1609</f>
        <v>9950000</v>
      </c>
      <c r="AJ83" s="27"/>
      <c r="AK83" s="27"/>
      <c r="AL83" s="27"/>
      <c r="AM83" s="27"/>
      <c r="AN83" s="27"/>
      <c r="AO83" s="27"/>
      <c r="AP83" s="27"/>
      <c r="AQ83" s="27">
        <f>+'[1]JUNIO 2016'!$W$2109</f>
        <v>4188032</v>
      </c>
      <c r="AR83" s="27"/>
      <c r="AS83" s="27"/>
      <c r="AT83" s="27"/>
      <c r="AU83" s="27"/>
      <c r="AV83" s="27"/>
      <c r="AW83" s="27"/>
      <c r="AX83" s="27"/>
      <c r="AY83" s="29">
        <f t="shared" si="84"/>
        <v>0.29309839999999998</v>
      </c>
      <c r="AZ83" s="27">
        <f t="shared" si="69"/>
        <v>5861968</v>
      </c>
      <c r="BA83" s="27">
        <f t="shared" si="70"/>
        <v>0</v>
      </c>
      <c r="BB83" s="27">
        <f t="shared" si="71"/>
        <v>0</v>
      </c>
      <c r="BC83" s="27">
        <f t="shared" si="71"/>
        <v>0</v>
      </c>
      <c r="BD83" s="27">
        <f t="shared" si="71"/>
        <v>0</v>
      </c>
      <c r="BE83" s="27">
        <f t="shared" si="87"/>
        <v>50000</v>
      </c>
      <c r="BF83" s="27">
        <f t="shared" si="87"/>
        <v>0</v>
      </c>
      <c r="BG83" s="27">
        <f t="shared" si="87"/>
        <v>0</v>
      </c>
      <c r="BH83" s="27">
        <f t="shared" si="87"/>
        <v>0</v>
      </c>
      <c r="BI83" s="27">
        <f t="shared" si="87"/>
        <v>0</v>
      </c>
      <c r="BJ83" s="27">
        <f t="shared" si="87"/>
        <v>0</v>
      </c>
      <c r="BK83" s="27">
        <f t="shared" si="87"/>
        <v>0</v>
      </c>
      <c r="BL83" s="27">
        <f t="shared" si="87"/>
        <v>0</v>
      </c>
      <c r="BM83" s="27">
        <f t="shared" si="87"/>
        <v>5811968</v>
      </c>
      <c r="BN83" s="27">
        <f t="shared" si="87"/>
        <v>0</v>
      </c>
      <c r="BO83" s="27">
        <f t="shared" si="87"/>
        <v>0</v>
      </c>
      <c r="BP83" s="27">
        <f t="shared" si="87"/>
        <v>0</v>
      </c>
      <c r="BQ83" s="27"/>
      <c r="BR83" s="27">
        <f>+Y83-AV83</f>
        <v>0</v>
      </c>
      <c r="BS83" s="27">
        <f t="shared" si="73"/>
        <v>0</v>
      </c>
      <c r="BT83" s="27">
        <f t="shared" si="88"/>
        <v>0</v>
      </c>
      <c r="BU83" s="29">
        <f t="shared" si="85"/>
        <v>0.65140160000000003</v>
      </c>
      <c r="BV83" s="27">
        <f t="shared" si="75"/>
        <v>13028032</v>
      </c>
      <c r="BW83" s="27"/>
      <c r="BX83" s="27"/>
      <c r="BY83" s="27"/>
      <c r="BZ83" s="27"/>
      <c r="CA83" s="27">
        <v>9950000</v>
      </c>
      <c r="CB83" s="27"/>
      <c r="CC83" s="27"/>
      <c r="CD83" s="27"/>
      <c r="CE83" s="27"/>
      <c r="CF83" s="27"/>
      <c r="CG83" s="27"/>
      <c r="CH83" s="27"/>
      <c r="CI83" s="27">
        <f>+'[1]JUNIO 2016'!$H$2114+'[1]JUNIO 2016'!$H$2117+'[1]JUNIO 2016'!$H$2112+'[1]JUNIO 2016'!$H$2113</f>
        <v>3078032</v>
      </c>
      <c r="CJ83" s="27"/>
      <c r="CK83" s="27"/>
      <c r="CL83" s="27"/>
      <c r="CM83" s="27"/>
      <c r="CN83" s="27"/>
      <c r="CO83" s="27"/>
      <c r="CP83" s="27"/>
      <c r="CQ83" s="29">
        <f t="shared" si="76"/>
        <v>0.34859839999999997</v>
      </c>
      <c r="CR83" s="27">
        <f t="shared" si="77"/>
        <v>6971968</v>
      </c>
      <c r="CS83" s="27">
        <f t="shared" si="92"/>
        <v>0</v>
      </c>
      <c r="CT83" s="27">
        <f t="shared" si="92"/>
        <v>0</v>
      </c>
      <c r="CU83" s="27">
        <f t="shared" si="92"/>
        <v>0</v>
      </c>
      <c r="CV83" s="27">
        <f t="shared" si="92"/>
        <v>0</v>
      </c>
      <c r="CW83" s="27">
        <f t="shared" si="92"/>
        <v>50000</v>
      </c>
      <c r="CX83" s="27">
        <f t="shared" si="92"/>
        <v>0</v>
      </c>
      <c r="CY83" s="27">
        <f t="shared" si="92"/>
        <v>0</v>
      </c>
      <c r="CZ83" s="27">
        <f>O83-CD83</f>
        <v>0</v>
      </c>
      <c r="DA83" s="27">
        <f>P83-CE83</f>
        <v>0</v>
      </c>
      <c r="DB83" s="27">
        <f>Q83-CF83</f>
        <v>0</v>
      </c>
      <c r="DC83" s="27">
        <f t="shared" si="80"/>
        <v>0</v>
      </c>
      <c r="DD83" s="27">
        <f t="shared" si="80"/>
        <v>0</v>
      </c>
      <c r="DE83" s="27">
        <f t="shared" si="80"/>
        <v>6921968</v>
      </c>
      <c r="DF83" s="27">
        <f>U83-CJ83</f>
        <v>0</v>
      </c>
      <c r="DG83" s="27">
        <f>V83-CK83</f>
        <v>0</v>
      </c>
      <c r="DH83" s="27">
        <f>W83-CL83</f>
        <v>0</v>
      </c>
      <c r="DI83" s="27"/>
      <c r="DJ83" s="27">
        <f>Y83-CN83</f>
        <v>0</v>
      </c>
      <c r="DK83" s="27">
        <f>Z83-CO83</f>
        <v>0</v>
      </c>
      <c r="DL83" s="27">
        <f>AA83-CP83</f>
        <v>0</v>
      </c>
      <c r="DN83" s="193"/>
      <c r="DO83" s="193"/>
      <c r="DP83" s="193"/>
      <c r="DQ83" s="193"/>
      <c r="DR83" s="193"/>
    </row>
    <row r="84" spans="1:123" s="64" customFormat="1" ht="30" hidden="1" x14ac:dyDescent="0.25">
      <c r="A84" s="227" t="s">
        <v>175</v>
      </c>
      <c r="B84" s="229" t="s">
        <v>237</v>
      </c>
      <c r="C84" s="74" t="s">
        <v>238</v>
      </c>
      <c r="D84" s="24" t="s">
        <v>239</v>
      </c>
      <c r="E84" s="36">
        <v>520</v>
      </c>
      <c r="F84" s="73" t="s">
        <v>89</v>
      </c>
      <c r="G84" s="27">
        <f t="shared" si="67"/>
        <v>6000000</v>
      </c>
      <c r="H84" s="61"/>
      <c r="I84" s="32"/>
      <c r="J84" s="32"/>
      <c r="K84" s="32"/>
      <c r="L84" s="61">
        <v>6000000</v>
      </c>
      <c r="M84" s="32"/>
      <c r="N84" s="32"/>
      <c r="O84" s="32"/>
      <c r="P84" s="32"/>
      <c r="Q84" s="32"/>
      <c r="R84" s="32"/>
      <c r="S84" s="32"/>
      <c r="T84" s="52"/>
      <c r="U84" s="61"/>
      <c r="V84" s="61"/>
      <c r="W84" s="61"/>
      <c r="X84" s="61"/>
      <c r="Y84" s="61"/>
      <c r="Z84" s="61"/>
      <c r="AA84" s="61"/>
      <c r="AC84" s="65">
        <f t="shared" si="83"/>
        <v>0</v>
      </c>
      <c r="AD84" s="27">
        <f t="shared" si="68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84"/>
        <v>1</v>
      </c>
      <c r="AZ84" s="27">
        <f t="shared" si="69"/>
        <v>6000000</v>
      </c>
      <c r="BA84" s="27">
        <f t="shared" si="70"/>
        <v>0</v>
      </c>
      <c r="BB84" s="61">
        <f t="shared" si="71"/>
        <v>0</v>
      </c>
      <c r="BC84" s="61">
        <f t="shared" si="71"/>
        <v>0</v>
      </c>
      <c r="BD84" s="27">
        <f t="shared" si="71"/>
        <v>0</v>
      </c>
      <c r="BE84" s="61">
        <f t="shared" si="87"/>
        <v>6000000</v>
      </c>
      <c r="BF84" s="61">
        <f t="shared" si="87"/>
        <v>0</v>
      </c>
      <c r="BG84" s="27">
        <f t="shared" si="87"/>
        <v>0</v>
      </c>
      <c r="BH84" s="61">
        <f t="shared" si="87"/>
        <v>0</v>
      </c>
      <c r="BI84" s="61">
        <f t="shared" si="87"/>
        <v>0</v>
      </c>
      <c r="BJ84" s="27">
        <f t="shared" si="87"/>
        <v>0</v>
      </c>
      <c r="BK84" s="61">
        <f t="shared" si="87"/>
        <v>0</v>
      </c>
      <c r="BL84" s="61">
        <f t="shared" si="87"/>
        <v>0</v>
      </c>
      <c r="BM84" s="61">
        <f t="shared" si="87"/>
        <v>0</v>
      </c>
      <c r="BN84" s="61">
        <f t="shared" si="87"/>
        <v>0</v>
      </c>
      <c r="BO84" s="61">
        <f t="shared" si="87"/>
        <v>0</v>
      </c>
      <c r="BP84" s="61">
        <f t="shared" si="87"/>
        <v>0</v>
      </c>
      <c r="BQ84" s="61"/>
      <c r="BR84" s="61"/>
      <c r="BS84" s="27">
        <f t="shared" si="73"/>
        <v>0</v>
      </c>
      <c r="BT84" s="61">
        <f t="shared" si="88"/>
        <v>0</v>
      </c>
      <c r="BU84" s="65">
        <f t="shared" si="85"/>
        <v>0</v>
      </c>
      <c r="BV84" s="27">
        <f t="shared" si="75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76"/>
        <v>1</v>
      </c>
      <c r="CR84" s="27">
        <f t="shared" si="77"/>
        <v>6000000</v>
      </c>
      <c r="CS84" s="27">
        <f t="shared" si="92"/>
        <v>0</v>
      </c>
      <c r="CT84" s="27">
        <f t="shared" si="92"/>
        <v>0</v>
      </c>
      <c r="CU84" s="61">
        <f t="shared" si="92"/>
        <v>0</v>
      </c>
      <c r="CV84" s="27">
        <f t="shared" si="92"/>
        <v>0</v>
      </c>
      <c r="CW84" s="61">
        <f t="shared" si="92"/>
        <v>6000000</v>
      </c>
      <c r="CX84" s="61">
        <f t="shared" si="92"/>
        <v>0</v>
      </c>
      <c r="CY84" s="27">
        <f t="shared" si="92"/>
        <v>0</v>
      </c>
      <c r="CZ84" s="61">
        <f t="shared" ref="CZ84:DH90" si="95">+O84-CD84</f>
        <v>0</v>
      </c>
      <c r="DA84" s="61">
        <f t="shared" si="95"/>
        <v>0</v>
      </c>
      <c r="DB84" s="27">
        <f t="shared" si="95"/>
        <v>0</v>
      </c>
      <c r="DC84" s="61">
        <f t="shared" si="80"/>
        <v>0</v>
      </c>
      <c r="DD84" s="61">
        <f t="shared" si="80"/>
        <v>0</v>
      </c>
      <c r="DE84" s="61">
        <f t="shared" si="80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  <c r="DN84" s="193"/>
      <c r="DO84" s="193"/>
      <c r="DP84" s="193"/>
      <c r="DQ84" s="193"/>
      <c r="DR84" s="193"/>
      <c r="DS84" s="189"/>
    </row>
    <row r="85" spans="1:123" s="64" customFormat="1" ht="38.25" hidden="1" customHeight="1" x14ac:dyDescent="0.25">
      <c r="A85" s="227"/>
      <c r="B85" s="231"/>
      <c r="C85" s="74" t="s">
        <v>240</v>
      </c>
      <c r="D85" s="24" t="s">
        <v>241</v>
      </c>
      <c r="E85" s="36">
        <v>520</v>
      </c>
      <c r="F85" s="73" t="s">
        <v>89</v>
      </c>
      <c r="G85" s="27">
        <f t="shared" si="67"/>
        <v>6000000</v>
      </c>
      <c r="H85" s="61"/>
      <c r="I85" s="32"/>
      <c r="J85" s="32"/>
      <c r="K85" s="32"/>
      <c r="L85" s="63">
        <v>6000000</v>
      </c>
      <c r="M85" s="32"/>
      <c r="N85" s="32"/>
      <c r="O85" s="32"/>
      <c r="P85" s="32"/>
      <c r="Q85" s="32"/>
      <c r="R85" s="32"/>
      <c r="S85" s="32"/>
      <c r="T85" s="52"/>
      <c r="U85" s="61"/>
      <c r="V85" s="61"/>
      <c r="W85" s="61"/>
      <c r="X85" s="61"/>
      <c r="Y85" s="61"/>
      <c r="Z85" s="61"/>
      <c r="AA85" s="61"/>
      <c r="AC85" s="65">
        <f t="shared" si="83"/>
        <v>0</v>
      </c>
      <c r="AD85" s="27">
        <f t="shared" si="68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84"/>
        <v>1</v>
      </c>
      <c r="AZ85" s="27">
        <f t="shared" si="69"/>
        <v>6000000</v>
      </c>
      <c r="BA85" s="27">
        <f t="shared" si="70"/>
        <v>0</v>
      </c>
      <c r="BB85" s="61">
        <f t="shared" si="71"/>
        <v>0</v>
      </c>
      <c r="BC85" s="61">
        <f t="shared" si="71"/>
        <v>0</v>
      </c>
      <c r="BD85" s="27">
        <f t="shared" si="71"/>
        <v>0</v>
      </c>
      <c r="BE85" s="61">
        <f t="shared" si="87"/>
        <v>6000000</v>
      </c>
      <c r="BF85" s="61">
        <f t="shared" si="87"/>
        <v>0</v>
      </c>
      <c r="BG85" s="27">
        <f t="shared" si="87"/>
        <v>0</v>
      </c>
      <c r="BH85" s="61">
        <f t="shared" si="87"/>
        <v>0</v>
      </c>
      <c r="BI85" s="61">
        <f t="shared" si="87"/>
        <v>0</v>
      </c>
      <c r="BJ85" s="27">
        <f t="shared" si="87"/>
        <v>0</v>
      </c>
      <c r="BK85" s="61">
        <f t="shared" si="87"/>
        <v>0</v>
      </c>
      <c r="BL85" s="61">
        <f t="shared" si="87"/>
        <v>0</v>
      </c>
      <c r="BM85" s="61">
        <f t="shared" si="87"/>
        <v>0</v>
      </c>
      <c r="BN85" s="61">
        <f t="shared" si="87"/>
        <v>0</v>
      </c>
      <c r="BO85" s="61">
        <f t="shared" si="87"/>
        <v>0</v>
      </c>
      <c r="BP85" s="61">
        <f t="shared" si="87"/>
        <v>0</v>
      </c>
      <c r="BQ85" s="61"/>
      <c r="BR85" s="61">
        <f>+Y85-AV85</f>
        <v>0</v>
      </c>
      <c r="BS85" s="27">
        <f t="shared" si="73"/>
        <v>0</v>
      </c>
      <c r="BT85" s="61">
        <f t="shared" si="88"/>
        <v>0</v>
      </c>
      <c r="BU85" s="65">
        <f t="shared" si="85"/>
        <v>0</v>
      </c>
      <c r="BV85" s="27">
        <f t="shared" si="75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76"/>
        <v>1</v>
      </c>
      <c r="CR85" s="27">
        <f t="shared" si="77"/>
        <v>6000000</v>
      </c>
      <c r="CS85" s="27">
        <f t="shared" si="92"/>
        <v>0</v>
      </c>
      <c r="CT85" s="27">
        <f t="shared" si="92"/>
        <v>0</v>
      </c>
      <c r="CU85" s="61">
        <f t="shared" si="92"/>
        <v>0</v>
      </c>
      <c r="CV85" s="27">
        <f t="shared" si="92"/>
        <v>0</v>
      </c>
      <c r="CW85" s="61">
        <f t="shared" si="92"/>
        <v>6000000</v>
      </c>
      <c r="CX85" s="61">
        <f t="shared" si="92"/>
        <v>0</v>
      </c>
      <c r="CY85" s="27">
        <f t="shared" si="92"/>
        <v>0</v>
      </c>
      <c r="CZ85" s="61">
        <f t="shared" si="95"/>
        <v>0</v>
      </c>
      <c r="DA85" s="61">
        <f t="shared" si="95"/>
        <v>0</v>
      </c>
      <c r="DB85" s="27">
        <f t="shared" si="95"/>
        <v>0</v>
      </c>
      <c r="DC85" s="61">
        <f t="shared" si="80"/>
        <v>0</v>
      </c>
      <c r="DD85" s="61">
        <f t="shared" si="80"/>
        <v>0</v>
      </c>
      <c r="DE85" s="61">
        <f t="shared" si="80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  <c r="DN85" s="193"/>
      <c r="DO85" s="193"/>
      <c r="DP85" s="193"/>
      <c r="DQ85" s="193"/>
      <c r="DR85" s="193"/>
      <c r="DS85" s="189"/>
    </row>
    <row r="86" spans="1:123" ht="20.25" hidden="1" customHeight="1" x14ac:dyDescent="0.25">
      <c r="A86" s="227"/>
      <c r="B86" s="229" t="s">
        <v>242</v>
      </c>
      <c r="C86" s="23" t="s">
        <v>243</v>
      </c>
      <c r="D86" s="24" t="s">
        <v>244</v>
      </c>
      <c r="E86" s="25">
        <v>520</v>
      </c>
      <c r="F86" s="73" t="s">
        <v>89</v>
      </c>
      <c r="G86" s="27">
        <f t="shared" si="67"/>
        <v>33106800</v>
      </c>
      <c r="H86" s="27"/>
      <c r="I86" s="39"/>
      <c r="J86" s="27"/>
      <c r="K86" s="27"/>
      <c r="L86" s="63">
        <v>33106800</v>
      </c>
      <c r="M86" s="39"/>
      <c r="N86" s="39"/>
      <c r="O86" s="39"/>
      <c r="P86" s="39"/>
      <c r="Q86" s="39"/>
      <c r="R86" s="32"/>
      <c r="S86" s="39"/>
      <c r="T86" s="52"/>
      <c r="U86" s="27"/>
      <c r="V86" s="27"/>
      <c r="W86" s="27"/>
      <c r="X86" s="27"/>
      <c r="Y86" s="27"/>
      <c r="Z86" s="27"/>
      <c r="AA86" s="27"/>
      <c r="AB86" s="64"/>
      <c r="AC86" s="29">
        <f t="shared" si="83"/>
        <v>1</v>
      </c>
      <c r="AD86" s="27">
        <f t="shared" si="68"/>
        <v>33106800</v>
      </c>
      <c r="AE86" s="27"/>
      <c r="AF86" s="27"/>
      <c r="AG86" s="27"/>
      <c r="AH86" s="27"/>
      <c r="AI86" s="27">
        <f>+'[5]ENERO 2016'!$O$848</f>
        <v>33106800</v>
      </c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9">
        <f t="shared" si="84"/>
        <v>0</v>
      </c>
      <c r="AZ86" s="27">
        <f t="shared" si="69"/>
        <v>0</v>
      </c>
      <c r="BA86" s="27">
        <f t="shared" si="70"/>
        <v>0</v>
      </c>
      <c r="BB86" s="27">
        <f t="shared" si="71"/>
        <v>0</v>
      </c>
      <c r="BC86" s="27">
        <f t="shared" si="71"/>
        <v>0</v>
      </c>
      <c r="BD86" s="27">
        <f t="shared" si="71"/>
        <v>0</v>
      </c>
      <c r="BE86" s="27">
        <f t="shared" si="87"/>
        <v>0</v>
      </c>
      <c r="BF86" s="27">
        <f t="shared" si="87"/>
        <v>0</v>
      </c>
      <c r="BG86" s="27">
        <f t="shared" si="87"/>
        <v>0</v>
      </c>
      <c r="BH86" s="61">
        <f t="shared" si="87"/>
        <v>0</v>
      </c>
      <c r="BI86" s="27">
        <f t="shared" si="87"/>
        <v>0</v>
      </c>
      <c r="BJ86" s="27">
        <f t="shared" si="87"/>
        <v>0</v>
      </c>
      <c r="BK86" s="27">
        <f t="shared" si="87"/>
        <v>0</v>
      </c>
      <c r="BL86" s="27">
        <f t="shared" si="87"/>
        <v>0</v>
      </c>
      <c r="BM86" s="27">
        <f t="shared" si="87"/>
        <v>0</v>
      </c>
      <c r="BN86" s="27">
        <f t="shared" si="87"/>
        <v>0</v>
      </c>
      <c r="BO86" s="27">
        <f t="shared" si="87"/>
        <v>0</v>
      </c>
      <c r="BP86" s="27">
        <f t="shared" si="87"/>
        <v>0</v>
      </c>
      <c r="BQ86" s="27"/>
      <c r="BR86" s="27"/>
      <c r="BS86" s="27">
        <f t="shared" si="73"/>
        <v>0</v>
      </c>
      <c r="BT86" s="27">
        <f t="shared" si="88"/>
        <v>0</v>
      </c>
      <c r="BU86" s="29">
        <f t="shared" si="85"/>
        <v>1</v>
      </c>
      <c r="BV86" s="27">
        <f t="shared" si="75"/>
        <v>33106800</v>
      </c>
      <c r="BW86" s="27"/>
      <c r="BX86" s="27"/>
      <c r="BY86" s="27"/>
      <c r="BZ86" s="27"/>
      <c r="CA86" s="27">
        <f>+'[4]ABRIL 2016'!$H$1625</f>
        <v>33106800</v>
      </c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65">
        <f t="shared" si="76"/>
        <v>0</v>
      </c>
      <c r="CR86" s="27">
        <f t="shared" si="77"/>
        <v>0</v>
      </c>
      <c r="CS86" s="27">
        <f t="shared" si="92"/>
        <v>0</v>
      </c>
      <c r="CT86" s="27">
        <f t="shared" si="92"/>
        <v>0</v>
      </c>
      <c r="CU86" s="61">
        <f t="shared" si="92"/>
        <v>0</v>
      </c>
      <c r="CV86" s="27">
        <f t="shared" si="92"/>
        <v>0</v>
      </c>
      <c r="CW86" s="27">
        <f t="shared" si="92"/>
        <v>0</v>
      </c>
      <c r="CX86" s="61">
        <f t="shared" si="92"/>
        <v>0</v>
      </c>
      <c r="CY86" s="27">
        <f t="shared" si="92"/>
        <v>0</v>
      </c>
      <c r="CZ86" s="61">
        <f t="shared" si="95"/>
        <v>0</v>
      </c>
      <c r="DA86" s="61">
        <f t="shared" si="95"/>
        <v>0</v>
      </c>
      <c r="DB86" s="27">
        <f t="shared" si="95"/>
        <v>0</v>
      </c>
      <c r="DC86" s="61">
        <f t="shared" si="80"/>
        <v>0</v>
      </c>
      <c r="DD86" s="27">
        <f t="shared" si="80"/>
        <v>0</v>
      </c>
      <c r="DE86" s="27">
        <f t="shared" si="80"/>
        <v>0</v>
      </c>
      <c r="DF86" s="27">
        <f t="shared" ref="DF86:DH88" si="96">+U86-CJ86</f>
        <v>0</v>
      </c>
      <c r="DG86" s="27">
        <f t="shared" si="96"/>
        <v>0</v>
      </c>
      <c r="DH86" s="27">
        <f t="shared" si="96"/>
        <v>0</v>
      </c>
      <c r="DI86" s="27"/>
      <c r="DJ86" s="27">
        <f>+Y86-CN86</f>
        <v>0</v>
      </c>
      <c r="DK86" s="61">
        <f>Z86-CO86</f>
        <v>0</v>
      </c>
      <c r="DL86" s="27">
        <f>+AA86-CP86</f>
        <v>0</v>
      </c>
      <c r="DN86" s="193"/>
      <c r="DO86" s="193"/>
      <c r="DP86" s="193"/>
      <c r="DQ86" s="193"/>
      <c r="DR86" s="193"/>
    </row>
    <row r="87" spans="1:123" ht="19.5" hidden="1" customHeight="1" x14ac:dyDescent="0.25">
      <c r="A87" s="227"/>
      <c r="B87" s="230"/>
      <c r="C87" s="23" t="s">
        <v>245</v>
      </c>
      <c r="D87" s="24" t="s">
        <v>246</v>
      </c>
      <c r="E87" s="25">
        <v>520</v>
      </c>
      <c r="F87" s="73" t="s">
        <v>89</v>
      </c>
      <c r="G87" s="27">
        <f t="shared" si="67"/>
        <v>15184000</v>
      </c>
      <c r="H87" s="27"/>
      <c r="I87" s="39"/>
      <c r="J87" s="27"/>
      <c r="K87" s="27"/>
      <c r="L87" s="63">
        <v>15184000</v>
      </c>
      <c r="M87" s="39"/>
      <c r="N87" s="39"/>
      <c r="O87" s="39"/>
      <c r="P87" s="39"/>
      <c r="Q87" s="39"/>
      <c r="R87" s="32"/>
      <c r="S87" s="39"/>
      <c r="T87" s="52"/>
      <c r="U87" s="27"/>
      <c r="V87" s="27"/>
      <c r="W87" s="27"/>
      <c r="X87" s="27"/>
      <c r="Y87" s="27"/>
      <c r="Z87" s="27"/>
      <c r="AA87" s="27"/>
      <c r="AB87" s="64"/>
      <c r="AC87" s="29">
        <f t="shared" si="83"/>
        <v>1</v>
      </c>
      <c r="AD87" s="27">
        <f t="shared" si="68"/>
        <v>15184000</v>
      </c>
      <c r="AE87" s="27"/>
      <c r="AF87" s="27"/>
      <c r="AG87" s="27"/>
      <c r="AH87" s="27"/>
      <c r="AI87" s="27">
        <f>+'[5]ENERO 2016'!$O$854</f>
        <v>15184000</v>
      </c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9">
        <f t="shared" si="84"/>
        <v>0</v>
      </c>
      <c r="AZ87" s="27">
        <f t="shared" si="69"/>
        <v>0</v>
      </c>
      <c r="BA87" s="27">
        <f t="shared" si="70"/>
        <v>0</v>
      </c>
      <c r="BB87" s="27">
        <f t="shared" si="71"/>
        <v>0</v>
      </c>
      <c r="BC87" s="27">
        <f t="shared" si="71"/>
        <v>0</v>
      </c>
      <c r="BD87" s="27">
        <f t="shared" si="71"/>
        <v>0</v>
      </c>
      <c r="BE87" s="27">
        <f t="shared" ref="BE87:BP90" si="97">+L87-AI87</f>
        <v>0</v>
      </c>
      <c r="BF87" s="27">
        <f t="shared" si="97"/>
        <v>0</v>
      </c>
      <c r="BG87" s="27">
        <f t="shared" si="97"/>
        <v>0</v>
      </c>
      <c r="BH87" s="61">
        <f t="shared" si="97"/>
        <v>0</v>
      </c>
      <c r="BI87" s="27">
        <f t="shared" si="97"/>
        <v>0</v>
      </c>
      <c r="BJ87" s="27">
        <f t="shared" si="97"/>
        <v>0</v>
      </c>
      <c r="BK87" s="27">
        <f t="shared" si="97"/>
        <v>0</v>
      </c>
      <c r="BL87" s="27">
        <f t="shared" si="97"/>
        <v>0</v>
      </c>
      <c r="BM87" s="27">
        <f t="shared" si="97"/>
        <v>0</v>
      </c>
      <c r="BN87" s="27">
        <f t="shared" si="97"/>
        <v>0</v>
      </c>
      <c r="BO87" s="27">
        <f t="shared" si="97"/>
        <v>0</v>
      </c>
      <c r="BP87" s="27">
        <f t="shared" si="97"/>
        <v>0</v>
      </c>
      <c r="BQ87" s="27"/>
      <c r="BR87" s="27"/>
      <c r="BS87" s="27">
        <f t="shared" si="73"/>
        <v>0</v>
      </c>
      <c r="BT87" s="27">
        <f t="shared" si="88"/>
        <v>0</v>
      </c>
      <c r="BU87" s="29">
        <f t="shared" si="85"/>
        <v>0.55657448630136985</v>
      </c>
      <c r="BV87" s="27">
        <f t="shared" si="75"/>
        <v>8451027</v>
      </c>
      <c r="BW87" s="27"/>
      <c r="BX87" s="27"/>
      <c r="BY87" s="27"/>
      <c r="BZ87" s="27"/>
      <c r="CA87" s="27">
        <f>+'[3]MAYO 2016'!$H$1873</f>
        <v>8451027</v>
      </c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65">
        <f t="shared" si="76"/>
        <v>0.44342551369863015</v>
      </c>
      <c r="CR87" s="27">
        <f t="shared" si="77"/>
        <v>6732973</v>
      </c>
      <c r="CS87" s="27">
        <f t="shared" si="92"/>
        <v>0</v>
      </c>
      <c r="CT87" s="27">
        <f t="shared" si="92"/>
        <v>0</v>
      </c>
      <c r="CU87" s="61">
        <f t="shared" si="92"/>
        <v>0</v>
      </c>
      <c r="CV87" s="27">
        <f t="shared" si="92"/>
        <v>0</v>
      </c>
      <c r="CW87" s="27">
        <f t="shared" si="92"/>
        <v>6732973</v>
      </c>
      <c r="CX87" s="61">
        <f t="shared" si="92"/>
        <v>0</v>
      </c>
      <c r="CY87" s="27">
        <f t="shared" si="92"/>
        <v>0</v>
      </c>
      <c r="CZ87" s="61">
        <f t="shared" si="95"/>
        <v>0</v>
      </c>
      <c r="DA87" s="61">
        <f t="shared" si="95"/>
        <v>0</v>
      </c>
      <c r="DB87" s="27">
        <f t="shared" si="95"/>
        <v>0</v>
      </c>
      <c r="DC87" s="61">
        <f t="shared" si="80"/>
        <v>0</v>
      </c>
      <c r="DD87" s="27">
        <f t="shared" si="80"/>
        <v>0</v>
      </c>
      <c r="DE87" s="27">
        <f t="shared" si="80"/>
        <v>0</v>
      </c>
      <c r="DF87" s="27">
        <f t="shared" si="96"/>
        <v>0</v>
      </c>
      <c r="DG87" s="27">
        <f t="shared" si="96"/>
        <v>0</v>
      </c>
      <c r="DH87" s="27">
        <f t="shared" si="96"/>
        <v>0</v>
      </c>
      <c r="DI87" s="27"/>
      <c r="DJ87" s="27">
        <f>+Y87-CN87</f>
        <v>0</v>
      </c>
      <c r="DK87" s="61">
        <f>Z87-CO87</f>
        <v>0</v>
      </c>
      <c r="DL87" s="27">
        <f>+AA87-CP87</f>
        <v>0</v>
      </c>
      <c r="DN87" s="193"/>
      <c r="DO87" s="193"/>
      <c r="DP87" s="193"/>
      <c r="DQ87" s="193"/>
      <c r="DR87" s="193"/>
    </row>
    <row r="88" spans="1:123" ht="32.25" hidden="1" customHeight="1" x14ac:dyDescent="0.25">
      <c r="A88" s="227"/>
      <c r="B88" s="230"/>
      <c r="C88" s="23" t="s">
        <v>247</v>
      </c>
      <c r="D88" s="24" t="s">
        <v>248</v>
      </c>
      <c r="E88" s="25">
        <v>520</v>
      </c>
      <c r="F88" s="73" t="s">
        <v>89</v>
      </c>
      <c r="G88" s="27">
        <f t="shared" si="67"/>
        <v>17000000</v>
      </c>
      <c r="H88" s="27"/>
      <c r="I88" s="39"/>
      <c r="J88" s="39"/>
      <c r="K88" s="39"/>
      <c r="L88" s="63">
        <v>16000000</v>
      </c>
      <c r="M88" s="39"/>
      <c r="N88" s="39"/>
      <c r="O88" s="39"/>
      <c r="P88" s="39"/>
      <c r="Q88" s="39"/>
      <c r="R88" s="32"/>
      <c r="S88" s="39"/>
      <c r="T88" s="63"/>
      <c r="U88" s="27"/>
      <c r="V88" s="27"/>
      <c r="W88" s="27"/>
      <c r="X88" s="27"/>
      <c r="Y88" s="27"/>
      <c r="Z88" s="27"/>
      <c r="AA88" s="27">
        <f>1000000</f>
        <v>1000000</v>
      </c>
      <c r="AB88" s="64"/>
      <c r="AC88" s="29">
        <f t="shared" si="83"/>
        <v>0</v>
      </c>
      <c r="AD88" s="27">
        <f t="shared" si="68"/>
        <v>0</v>
      </c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9">
        <f t="shared" si="84"/>
        <v>1</v>
      </c>
      <c r="AZ88" s="27">
        <f t="shared" si="69"/>
        <v>17000000</v>
      </c>
      <c r="BA88" s="27">
        <f t="shared" si="70"/>
        <v>0</v>
      </c>
      <c r="BB88" s="27">
        <f t="shared" si="71"/>
        <v>0</v>
      </c>
      <c r="BC88" s="27">
        <f t="shared" si="71"/>
        <v>0</v>
      </c>
      <c r="BD88" s="27">
        <f t="shared" si="71"/>
        <v>0</v>
      </c>
      <c r="BE88" s="27">
        <f t="shared" si="97"/>
        <v>16000000</v>
      </c>
      <c r="BF88" s="27">
        <f t="shared" si="97"/>
        <v>0</v>
      </c>
      <c r="BG88" s="27">
        <f t="shared" si="97"/>
        <v>0</v>
      </c>
      <c r="BH88" s="61">
        <f t="shared" si="97"/>
        <v>0</v>
      </c>
      <c r="BI88" s="27">
        <f t="shared" si="97"/>
        <v>0</v>
      </c>
      <c r="BJ88" s="27">
        <f t="shared" si="97"/>
        <v>0</v>
      </c>
      <c r="BK88" s="27">
        <f t="shared" si="97"/>
        <v>0</v>
      </c>
      <c r="BL88" s="27">
        <f t="shared" si="97"/>
        <v>0</v>
      </c>
      <c r="BM88" s="27">
        <f t="shared" si="97"/>
        <v>0</v>
      </c>
      <c r="BN88" s="27">
        <f t="shared" si="97"/>
        <v>0</v>
      </c>
      <c r="BO88" s="27">
        <f t="shared" si="97"/>
        <v>0</v>
      </c>
      <c r="BP88" s="27">
        <f t="shared" si="97"/>
        <v>0</v>
      </c>
      <c r="BQ88" s="27"/>
      <c r="BR88" s="27"/>
      <c r="BS88" s="27">
        <f t="shared" si="73"/>
        <v>0</v>
      </c>
      <c r="BT88" s="27">
        <f t="shared" si="88"/>
        <v>1000000</v>
      </c>
      <c r="BU88" s="29">
        <f t="shared" si="85"/>
        <v>0</v>
      </c>
      <c r="BV88" s="27">
        <f t="shared" si="75"/>
        <v>0</v>
      </c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65">
        <f t="shared" si="76"/>
        <v>1</v>
      </c>
      <c r="CR88" s="27">
        <f t="shared" si="77"/>
        <v>17000000</v>
      </c>
      <c r="CS88" s="27">
        <f t="shared" si="92"/>
        <v>0</v>
      </c>
      <c r="CT88" s="27">
        <f t="shared" si="92"/>
        <v>0</v>
      </c>
      <c r="CU88" s="61">
        <f t="shared" si="92"/>
        <v>0</v>
      </c>
      <c r="CV88" s="27">
        <f t="shared" si="92"/>
        <v>0</v>
      </c>
      <c r="CW88" s="27">
        <f t="shared" si="92"/>
        <v>16000000</v>
      </c>
      <c r="CX88" s="61">
        <f t="shared" si="92"/>
        <v>0</v>
      </c>
      <c r="CY88" s="27">
        <f t="shared" si="92"/>
        <v>0</v>
      </c>
      <c r="CZ88" s="61">
        <f t="shared" si="95"/>
        <v>0</v>
      </c>
      <c r="DA88" s="61">
        <f t="shared" si="95"/>
        <v>0</v>
      </c>
      <c r="DB88" s="27">
        <f t="shared" si="95"/>
        <v>0</v>
      </c>
      <c r="DC88" s="61">
        <f t="shared" si="80"/>
        <v>0</v>
      </c>
      <c r="DD88" s="27">
        <f t="shared" si="80"/>
        <v>0</v>
      </c>
      <c r="DE88" s="27">
        <f t="shared" si="80"/>
        <v>0</v>
      </c>
      <c r="DF88" s="27">
        <f t="shared" si="96"/>
        <v>0</v>
      </c>
      <c r="DG88" s="27">
        <f t="shared" si="96"/>
        <v>0</v>
      </c>
      <c r="DH88" s="27">
        <f t="shared" si="96"/>
        <v>0</v>
      </c>
      <c r="DI88" s="27"/>
      <c r="DJ88" s="27">
        <f>+Y88-CN88</f>
        <v>0</v>
      </c>
      <c r="DK88" s="61">
        <f>Z88-CO88</f>
        <v>0</v>
      </c>
      <c r="DL88" s="27">
        <f>+AA88-CP88</f>
        <v>1000000</v>
      </c>
      <c r="DN88" s="193"/>
      <c r="DO88" s="193"/>
      <c r="DP88" s="193"/>
      <c r="DQ88" s="193"/>
      <c r="DR88" s="193"/>
    </row>
    <row r="89" spans="1:123" ht="24" hidden="1" customHeight="1" x14ac:dyDescent="0.25">
      <c r="A89" s="227"/>
      <c r="B89" s="230"/>
      <c r="C89" s="75" t="s">
        <v>249</v>
      </c>
      <c r="D89" s="24" t="s">
        <v>250</v>
      </c>
      <c r="E89" s="25">
        <v>520</v>
      </c>
      <c r="F89" s="73" t="s">
        <v>89</v>
      </c>
      <c r="G89" s="27">
        <f t="shared" si="67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29">
        <f t="shared" si="83"/>
        <v>1</v>
      </c>
      <c r="AD89" s="27">
        <f t="shared" si="68"/>
        <v>300709200</v>
      </c>
      <c r="AE89" s="76"/>
      <c r="AF89" s="76"/>
      <c r="AG89" s="76"/>
      <c r="AH89" s="76"/>
      <c r="AI89" s="76">
        <f>+'[5]ENERO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+'[5]ENERO 2016'!$W$864</f>
        <v>265000000</v>
      </c>
      <c r="AR89" s="76"/>
      <c r="AS89" s="76"/>
      <c r="AT89" s="76"/>
      <c r="AU89" s="76"/>
      <c r="AV89" s="76"/>
      <c r="AW89" s="76"/>
      <c r="AX89" s="76"/>
      <c r="AY89" s="29">
        <f t="shared" si="84"/>
        <v>0</v>
      </c>
      <c r="AZ89" s="27">
        <f t="shared" si="69"/>
        <v>0</v>
      </c>
      <c r="BA89" s="27">
        <f t="shared" si="70"/>
        <v>0</v>
      </c>
      <c r="BB89" s="27">
        <f t="shared" si="71"/>
        <v>0</v>
      </c>
      <c r="BC89" s="27">
        <f t="shared" si="71"/>
        <v>0</v>
      </c>
      <c r="BD89" s="27">
        <f t="shared" si="71"/>
        <v>0</v>
      </c>
      <c r="BE89" s="27">
        <f t="shared" si="97"/>
        <v>0</v>
      </c>
      <c r="BF89" s="27">
        <f t="shared" si="97"/>
        <v>0</v>
      </c>
      <c r="BG89" s="27">
        <f t="shared" si="97"/>
        <v>0</v>
      </c>
      <c r="BH89" s="61">
        <f t="shared" si="97"/>
        <v>0</v>
      </c>
      <c r="BI89" s="27">
        <f t="shared" si="97"/>
        <v>0</v>
      </c>
      <c r="BJ89" s="27">
        <f t="shared" si="97"/>
        <v>0</v>
      </c>
      <c r="BK89" s="27">
        <f t="shared" si="97"/>
        <v>0</v>
      </c>
      <c r="BL89" s="27">
        <f t="shared" si="97"/>
        <v>0</v>
      </c>
      <c r="BM89" s="27">
        <f t="shared" si="97"/>
        <v>0</v>
      </c>
      <c r="BN89" s="27">
        <f t="shared" si="97"/>
        <v>0</v>
      </c>
      <c r="BO89" s="27">
        <f t="shared" si="97"/>
        <v>0</v>
      </c>
      <c r="BP89" s="27">
        <f t="shared" si="97"/>
        <v>0</v>
      </c>
      <c r="BQ89" s="27"/>
      <c r="BR89" s="27">
        <f>+Y89-AV89</f>
        <v>0</v>
      </c>
      <c r="BS89" s="27">
        <f t="shared" si="73"/>
        <v>0</v>
      </c>
      <c r="BT89" s="27">
        <f t="shared" si="88"/>
        <v>0</v>
      </c>
      <c r="BU89" s="29">
        <f t="shared" si="85"/>
        <v>0.81766598095435727</v>
      </c>
      <c r="BV89" s="27">
        <f t="shared" si="75"/>
        <v>245879683</v>
      </c>
      <c r="BW89" s="76"/>
      <c r="BX89" s="76"/>
      <c r="BY89" s="76"/>
      <c r="BZ89" s="76"/>
      <c r="CA89" s="76">
        <f>+'[3]MAYO 2016'!$H$1889</f>
        <v>33050686</v>
      </c>
      <c r="CB89" s="76"/>
      <c r="CC89" s="76"/>
      <c r="CD89" s="76"/>
      <c r="CE89" s="76"/>
      <c r="CF89" s="76"/>
      <c r="CG89" s="76"/>
      <c r="CH89" s="76"/>
      <c r="CI89" s="76">
        <f>+'[1]JUNIO 2016'!$H$2154-'[1]JUNIO 2016'!$H$2157</f>
        <v>212828997</v>
      </c>
      <c r="CJ89" s="76"/>
      <c r="CK89" s="76"/>
      <c r="CL89" s="76"/>
      <c r="CM89" s="76"/>
      <c r="CN89" s="76"/>
      <c r="CO89" s="76"/>
      <c r="CP89" s="76"/>
      <c r="CQ89" s="65">
        <f t="shared" si="76"/>
        <v>0.18233401904564273</v>
      </c>
      <c r="CR89" s="27">
        <f t="shared" si="77"/>
        <v>54829517</v>
      </c>
      <c r="CS89" s="27">
        <f t="shared" si="92"/>
        <v>0</v>
      </c>
      <c r="CT89" s="27">
        <f t="shared" si="92"/>
        <v>0</v>
      </c>
      <c r="CU89" s="61">
        <f t="shared" si="92"/>
        <v>0</v>
      </c>
      <c r="CV89" s="27">
        <f t="shared" si="92"/>
        <v>0</v>
      </c>
      <c r="CW89" s="27">
        <f t="shared" si="92"/>
        <v>2658514</v>
      </c>
      <c r="CX89" s="61">
        <f t="shared" si="92"/>
        <v>0</v>
      </c>
      <c r="CY89" s="27">
        <f t="shared" si="92"/>
        <v>0</v>
      </c>
      <c r="CZ89" s="61">
        <f t="shared" si="95"/>
        <v>0</v>
      </c>
      <c r="DA89" s="61">
        <f t="shared" si="95"/>
        <v>0</v>
      </c>
      <c r="DB89" s="27">
        <f t="shared" si="95"/>
        <v>0</v>
      </c>
      <c r="DC89" s="61">
        <f t="shared" si="80"/>
        <v>0</v>
      </c>
      <c r="DD89" s="61">
        <f t="shared" si="80"/>
        <v>0</v>
      </c>
      <c r="DE89" s="61">
        <f t="shared" si="80"/>
        <v>52171003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  <c r="DN89" s="193"/>
      <c r="DO89" s="193"/>
      <c r="DP89" s="193"/>
      <c r="DQ89" s="193"/>
      <c r="DR89" s="193"/>
    </row>
    <row r="90" spans="1:123" ht="23.25" hidden="1" customHeight="1" x14ac:dyDescent="0.25">
      <c r="A90" s="228"/>
      <c r="B90" s="231"/>
      <c r="C90" s="23" t="s">
        <v>251</v>
      </c>
      <c r="D90" s="24" t="s">
        <v>252</v>
      </c>
      <c r="E90" s="25">
        <v>520</v>
      </c>
      <c r="F90" s="26" t="s">
        <v>253</v>
      </c>
      <c r="G90" s="27">
        <f t="shared" si="67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29">
        <f t="shared" si="83"/>
        <v>2.6265950789760177E-2</v>
      </c>
      <c r="AD90" s="27">
        <f t="shared" si="68"/>
        <v>830000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>
        <f>+'[3]MAYO 2016'!$AG$1923</f>
        <v>830000</v>
      </c>
      <c r="AY90" s="29">
        <f t="shared" si="84"/>
        <v>0.97373404921023987</v>
      </c>
      <c r="AZ90" s="27">
        <f t="shared" si="69"/>
        <v>30769846</v>
      </c>
      <c r="BA90" s="27">
        <f t="shared" si="70"/>
        <v>0</v>
      </c>
      <c r="BB90" s="27">
        <f t="shared" si="71"/>
        <v>0</v>
      </c>
      <c r="BC90" s="27">
        <f t="shared" si="71"/>
        <v>0</v>
      </c>
      <c r="BD90" s="27">
        <f t="shared" si="71"/>
        <v>0</v>
      </c>
      <c r="BE90" s="27">
        <f t="shared" si="97"/>
        <v>0</v>
      </c>
      <c r="BF90" s="27">
        <f t="shared" si="97"/>
        <v>0</v>
      </c>
      <c r="BG90" s="27">
        <f t="shared" si="97"/>
        <v>0</v>
      </c>
      <c r="BH90" s="61">
        <f t="shared" si="97"/>
        <v>0</v>
      </c>
      <c r="BI90" s="27">
        <f t="shared" si="97"/>
        <v>0</v>
      </c>
      <c r="BJ90" s="27">
        <f t="shared" si="97"/>
        <v>0</v>
      </c>
      <c r="BK90" s="27">
        <f t="shared" si="97"/>
        <v>0</v>
      </c>
      <c r="BL90" s="27">
        <f t="shared" si="97"/>
        <v>0</v>
      </c>
      <c r="BM90" s="27">
        <f t="shared" si="97"/>
        <v>0</v>
      </c>
      <c r="BN90" s="27">
        <f t="shared" si="97"/>
        <v>0</v>
      </c>
      <c r="BO90" s="27">
        <f t="shared" si="97"/>
        <v>0</v>
      </c>
      <c r="BP90" s="27">
        <f t="shared" si="97"/>
        <v>0</v>
      </c>
      <c r="BQ90" s="27"/>
      <c r="BR90" s="27">
        <f>+Y90-AV90</f>
        <v>0</v>
      </c>
      <c r="BS90" s="27">
        <f t="shared" si="73"/>
        <v>0</v>
      </c>
      <c r="BT90" s="27">
        <f t="shared" si="88"/>
        <v>30769846</v>
      </c>
      <c r="BU90" s="29">
        <f t="shared" si="85"/>
        <v>2.6265950789760177E-2</v>
      </c>
      <c r="BV90" s="27">
        <f t="shared" si="75"/>
        <v>830000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>
        <f>+'[3]MAYO 2016'!$H$1921</f>
        <v>830000</v>
      </c>
      <c r="CQ90" s="65">
        <f t="shared" si="76"/>
        <v>0.97373404921023987</v>
      </c>
      <c r="CR90" s="27">
        <f t="shared" si="77"/>
        <v>30769846</v>
      </c>
      <c r="CS90" s="27">
        <f t="shared" si="92"/>
        <v>0</v>
      </c>
      <c r="CT90" s="27">
        <f t="shared" si="92"/>
        <v>0</v>
      </c>
      <c r="CU90" s="61">
        <f t="shared" si="92"/>
        <v>0</v>
      </c>
      <c r="CV90" s="27">
        <f t="shared" si="92"/>
        <v>0</v>
      </c>
      <c r="CW90" s="27">
        <f t="shared" si="92"/>
        <v>0</v>
      </c>
      <c r="CX90" s="61">
        <f t="shared" si="92"/>
        <v>0</v>
      </c>
      <c r="CY90" s="27">
        <f t="shared" si="92"/>
        <v>0</v>
      </c>
      <c r="CZ90" s="61">
        <f t="shared" si="95"/>
        <v>0</v>
      </c>
      <c r="DA90" s="61">
        <f t="shared" si="95"/>
        <v>0</v>
      </c>
      <c r="DB90" s="27">
        <f t="shared" si="95"/>
        <v>0</v>
      </c>
      <c r="DC90" s="27">
        <f t="shared" si="95"/>
        <v>0</v>
      </c>
      <c r="DD90" s="27">
        <f t="shared" si="95"/>
        <v>0</v>
      </c>
      <c r="DE90" s="27">
        <f t="shared" si="95"/>
        <v>0</v>
      </c>
      <c r="DF90" s="27">
        <f t="shared" si="95"/>
        <v>0</v>
      </c>
      <c r="DG90" s="27">
        <f t="shared" si="95"/>
        <v>0</v>
      </c>
      <c r="DH90" s="27">
        <f t="shared" si="95"/>
        <v>0</v>
      </c>
      <c r="DI90" s="27"/>
      <c r="DJ90" s="27">
        <f>+Y90-CN90</f>
        <v>0</v>
      </c>
      <c r="DK90" s="27">
        <f>+Z90-CO90</f>
        <v>0</v>
      </c>
      <c r="DL90" s="27">
        <f>+AA90-CP90</f>
        <v>30769846</v>
      </c>
      <c r="DN90" s="193"/>
      <c r="DO90" s="193"/>
      <c r="DP90" s="193"/>
      <c r="DQ90" s="193"/>
      <c r="DR90" s="193"/>
    </row>
    <row r="91" spans="1:123" s="50" customFormat="1" ht="18.75" customHeight="1" thickTop="1" thickBot="1" x14ac:dyDescent="0.3">
      <c r="A91" s="79"/>
      <c r="B91" s="278" t="s">
        <v>380</v>
      </c>
      <c r="C91" s="279"/>
      <c r="D91" s="279"/>
      <c r="E91" s="279"/>
      <c r="F91" s="280"/>
      <c r="G91" s="68">
        <f>SUM(G59:G90)</f>
        <v>1600540286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98">SUM(M59:M88)</f>
        <v>50000000</v>
      </c>
      <c r="N91" s="68">
        <f t="shared" si="98"/>
        <v>0</v>
      </c>
      <c r="O91" s="68">
        <f t="shared" si="98"/>
        <v>0</v>
      </c>
      <c r="P91" s="68">
        <f t="shared" si="98"/>
        <v>0</v>
      </c>
      <c r="Q91" s="68">
        <f t="shared" si="98"/>
        <v>0</v>
      </c>
      <c r="R91" s="68">
        <f t="shared" si="98"/>
        <v>0</v>
      </c>
      <c r="S91" s="68">
        <f>SUM(S59:S90)</f>
        <v>200000000</v>
      </c>
      <c r="T91" s="68">
        <f>SUM(T59:T90)</f>
        <v>333901442</v>
      </c>
      <c r="U91" s="68">
        <f t="shared" ref="U91:Z91" si="99">SUM(U59:U88)</f>
        <v>0</v>
      </c>
      <c r="V91" s="68">
        <f t="shared" si="99"/>
        <v>0</v>
      </c>
      <c r="W91" s="68">
        <f t="shared" si="99"/>
        <v>0</v>
      </c>
      <c r="X91" s="68">
        <f t="shared" si="99"/>
        <v>0</v>
      </c>
      <c r="Y91" s="68">
        <f t="shared" si="99"/>
        <v>0</v>
      </c>
      <c r="Z91" s="68">
        <f t="shared" si="99"/>
        <v>0</v>
      </c>
      <c r="AA91" s="68">
        <f>SUM(AA59:AA90)</f>
        <v>496638844</v>
      </c>
      <c r="AC91" s="46">
        <f t="shared" si="83"/>
        <v>0.73839405626807197</v>
      </c>
      <c r="AD91" s="68">
        <f>SUM(AD59:AD90)</f>
        <v>1181829434</v>
      </c>
      <c r="AE91" s="68"/>
      <c r="AF91" s="68">
        <f t="shared" ref="AF91:AX91" si="100">SUM(AF59:AF90)</f>
        <v>0</v>
      </c>
      <c r="AG91" s="68">
        <f t="shared" si="100"/>
        <v>0</v>
      </c>
      <c r="AH91" s="68">
        <f t="shared" si="100"/>
        <v>0</v>
      </c>
      <c r="AI91" s="68">
        <f t="shared" si="100"/>
        <v>282138473</v>
      </c>
      <c r="AJ91" s="68">
        <f t="shared" si="100"/>
        <v>24212635</v>
      </c>
      <c r="AK91" s="68">
        <f t="shared" si="100"/>
        <v>0</v>
      </c>
      <c r="AL91" s="68">
        <f t="shared" si="100"/>
        <v>0</v>
      </c>
      <c r="AM91" s="68">
        <f t="shared" si="100"/>
        <v>0</v>
      </c>
      <c r="AN91" s="68">
        <f t="shared" si="100"/>
        <v>0</v>
      </c>
      <c r="AO91" s="68">
        <f t="shared" si="100"/>
        <v>0</v>
      </c>
      <c r="AP91" s="68">
        <f t="shared" si="100"/>
        <v>196388655</v>
      </c>
      <c r="AQ91" s="68">
        <f t="shared" si="100"/>
        <v>286026149</v>
      </c>
      <c r="AR91" s="68">
        <f t="shared" si="100"/>
        <v>0</v>
      </c>
      <c r="AS91" s="68">
        <f t="shared" si="100"/>
        <v>0</v>
      </c>
      <c r="AT91" s="68">
        <f t="shared" si="100"/>
        <v>0</v>
      </c>
      <c r="AU91" s="68">
        <f t="shared" si="100"/>
        <v>0</v>
      </c>
      <c r="AV91" s="68">
        <f t="shared" si="100"/>
        <v>0</v>
      </c>
      <c r="AW91" s="68">
        <f t="shared" si="100"/>
        <v>0</v>
      </c>
      <c r="AX91" s="68">
        <f t="shared" si="100"/>
        <v>393063522</v>
      </c>
      <c r="AY91" s="46">
        <f t="shared" si="84"/>
        <v>0.26160594373192803</v>
      </c>
      <c r="AZ91" s="68">
        <f>SUM(AZ59:AZ90)</f>
        <v>418710852</v>
      </c>
      <c r="BA91" s="68"/>
      <c r="BB91" s="68">
        <f t="shared" ref="BB91:BT91" si="101">SUM(BB59:BB90)</f>
        <v>0</v>
      </c>
      <c r="BC91" s="68">
        <f t="shared" si="101"/>
        <v>0</v>
      </c>
      <c r="BD91" s="68">
        <f t="shared" si="101"/>
        <v>0</v>
      </c>
      <c r="BE91" s="68">
        <f t="shared" si="101"/>
        <v>237861527</v>
      </c>
      <c r="BF91" s="68">
        <f t="shared" si="101"/>
        <v>25787365</v>
      </c>
      <c r="BG91" s="68">
        <f t="shared" si="101"/>
        <v>0</v>
      </c>
      <c r="BH91" s="68">
        <f t="shared" si="101"/>
        <v>0</v>
      </c>
      <c r="BI91" s="68">
        <f t="shared" si="101"/>
        <v>0</v>
      </c>
      <c r="BJ91" s="68">
        <f t="shared" si="101"/>
        <v>0</v>
      </c>
      <c r="BK91" s="68">
        <f t="shared" si="101"/>
        <v>0</v>
      </c>
      <c r="BL91" s="68">
        <f t="shared" si="101"/>
        <v>3611345</v>
      </c>
      <c r="BM91" s="68">
        <f t="shared" si="101"/>
        <v>47875293</v>
      </c>
      <c r="BN91" s="68">
        <f t="shared" si="101"/>
        <v>0</v>
      </c>
      <c r="BO91" s="68">
        <f t="shared" si="101"/>
        <v>0</v>
      </c>
      <c r="BP91" s="68">
        <f t="shared" si="101"/>
        <v>0</v>
      </c>
      <c r="BQ91" s="68">
        <f t="shared" si="101"/>
        <v>0</v>
      </c>
      <c r="BR91" s="68">
        <f t="shared" si="101"/>
        <v>0</v>
      </c>
      <c r="BS91" s="68">
        <f t="shared" si="101"/>
        <v>0</v>
      </c>
      <c r="BT91" s="68">
        <f t="shared" si="101"/>
        <v>103575322</v>
      </c>
      <c r="BU91" s="46">
        <f t="shared" si="85"/>
        <v>0.5763361916402272</v>
      </c>
      <c r="BV91" s="68">
        <f t="shared" ref="BV91:CL91" si="102">SUM(BV59:BV90)</f>
        <v>922449293</v>
      </c>
      <c r="BW91" s="68">
        <f t="shared" si="102"/>
        <v>0</v>
      </c>
      <c r="BX91" s="68">
        <f t="shared" si="102"/>
        <v>0</v>
      </c>
      <c r="BY91" s="68">
        <f t="shared" si="102"/>
        <v>0</v>
      </c>
      <c r="BZ91" s="68">
        <f t="shared" si="102"/>
        <v>0</v>
      </c>
      <c r="CA91" s="68">
        <f t="shared" si="102"/>
        <v>222563715</v>
      </c>
      <c r="CB91" s="68">
        <f t="shared" si="102"/>
        <v>24212635</v>
      </c>
      <c r="CC91" s="68">
        <f t="shared" si="102"/>
        <v>0</v>
      </c>
      <c r="CD91" s="68">
        <f t="shared" si="102"/>
        <v>0</v>
      </c>
      <c r="CE91" s="68">
        <f t="shared" si="102"/>
        <v>0</v>
      </c>
      <c r="CF91" s="68">
        <f t="shared" si="102"/>
        <v>0</v>
      </c>
      <c r="CG91" s="68">
        <f t="shared" si="102"/>
        <v>0</v>
      </c>
      <c r="CH91" s="68">
        <f t="shared" si="102"/>
        <v>162882922</v>
      </c>
      <c r="CI91" s="68">
        <f t="shared" si="102"/>
        <v>232521071</v>
      </c>
      <c r="CJ91" s="68">
        <f t="shared" si="102"/>
        <v>0</v>
      </c>
      <c r="CK91" s="68">
        <f t="shared" si="102"/>
        <v>0</v>
      </c>
      <c r="CL91" s="68">
        <f t="shared" si="102"/>
        <v>0</v>
      </c>
      <c r="CM91" s="68"/>
      <c r="CN91" s="68">
        <f>SUM(CN59:CN90)</f>
        <v>0</v>
      </c>
      <c r="CO91" s="68">
        <f>SUM(CO59:CO90)</f>
        <v>0</v>
      </c>
      <c r="CP91" s="68">
        <f>SUM(CP59:CP90)</f>
        <v>280268950</v>
      </c>
      <c r="CQ91" s="46">
        <f t="shared" si="76"/>
        <v>0.4236638083597728</v>
      </c>
      <c r="CR91" s="68">
        <f t="shared" ref="CR91:DL91" si="103">SUM(CR59:CR90)</f>
        <v>678090993</v>
      </c>
      <c r="CS91" s="68">
        <f t="shared" si="103"/>
        <v>0</v>
      </c>
      <c r="CT91" s="68">
        <f t="shared" si="103"/>
        <v>0</v>
      </c>
      <c r="CU91" s="68">
        <f t="shared" si="103"/>
        <v>0</v>
      </c>
      <c r="CV91" s="68">
        <f t="shared" si="103"/>
        <v>0</v>
      </c>
      <c r="CW91" s="68">
        <f t="shared" si="103"/>
        <v>297436285</v>
      </c>
      <c r="CX91" s="68">
        <f t="shared" si="103"/>
        <v>25787365</v>
      </c>
      <c r="CY91" s="68">
        <f t="shared" si="103"/>
        <v>0</v>
      </c>
      <c r="CZ91" s="68">
        <f t="shared" si="103"/>
        <v>0</v>
      </c>
      <c r="DA91" s="68">
        <f t="shared" si="103"/>
        <v>0</v>
      </c>
      <c r="DB91" s="68">
        <f t="shared" si="103"/>
        <v>0</v>
      </c>
      <c r="DC91" s="68">
        <f t="shared" si="103"/>
        <v>0</v>
      </c>
      <c r="DD91" s="68">
        <f t="shared" si="103"/>
        <v>37117078</v>
      </c>
      <c r="DE91" s="68">
        <f t="shared" si="103"/>
        <v>101380371</v>
      </c>
      <c r="DF91" s="68">
        <f t="shared" si="103"/>
        <v>0</v>
      </c>
      <c r="DG91" s="68">
        <f t="shared" si="103"/>
        <v>0</v>
      </c>
      <c r="DH91" s="68">
        <f t="shared" si="103"/>
        <v>0</v>
      </c>
      <c r="DI91" s="68">
        <f t="shared" si="103"/>
        <v>0</v>
      </c>
      <c r="DJ91" s="68">
        <f t="shared" si="103"/>
        <v>0</v>
      </c>
      <c r="DK91" s="68">
        <f t="shared" si="103"/>
        <v>0</v>
      </c>
      <c r="DL91" s="68">
        <f t="shared" si="103"/>
        <v>216369894</v>
      </c>
      <c r="DN91" s="193" t="s">
        <v>388</v>
      </c>
      <c r="DO91" s="193"/>
      <c r="DP91" s="195">
        <v>1600540286</v>
      </c>
      <c r="DQ91" s="196">
        <v>922449293</v>
      </c>
      <c r="DR91" s="197">
        <v>0.57630000000000003</v>
      </c>
      <c r="DS91" s="189"/>
    </row>
    <row r="92" spans="1:123" ht="6" hidden="1" customHeight="1" thickTop="1" x14ac:dyDescent="0.25">
      <c r="B92" s="80"/>
      <c r="C92" s="81"/>
      <c r="D92" s="82"/>
      <c r="E92" s="83"/>
      <c r="F92" s="84"/>
      <c r="G92" s="85"/>
      <c r="H92" s="85"/>
      <c r="I92" s="85"/>
      <c r="J92" s="85"/>
      <c r="K92" s="85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7"/>
      <c r="AC92" s="88"/>
      <c r="AD92" s="89"/>
      <c r="AE92" s="89"/>
      <c r="AF92" s="89"/>
      <c r="AG92" s="89"/>
      <c r="AH92" s="89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1"/>
      <c r="AZ92" s="89"/>
      <c r="BA92" s="89"/>
      <c r="BB92" s="89"/>
      <c r="BC92" s="89"/>
      <c r="BD92" s="89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1"/>
      <c r="BV92" s="89"/>
      <c r="BW92" s="89"/>
      <c r="BX92" s="89"/>
      <c r="BY92" s="89"/>
      <c r="BZ92" s="89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1"/>
      <c r="CR92" s="89"/>
      <c r="CS92" s="89"/>
      <c r="CT92" s="89"/>
      <c r="CU92" s="89"/>
      <c r="CV92" s="89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N92" s="193"/>
      <c r="DO92" s="193"/>
      <c r="DP92" s="193"/>
      <c r="DQ92" s="193"/>
      <c r="DR92" s="193"/>
    </row>
    <row r="93" spans="1:123" s="50" customFormat="1" ht="18" hidden="1" customHeight="1" x14ac:dyDescent="0.25">
      <c r="A93" s="246" t="s">
        <v>255</v>
      </c>
      <c r="B93" s="229" t="s">
        <v>256</v>
      </c>
      <c r="C93" s="75" t="s">
        <v>257</v>
      </c>
      <c r="D93" s="24" t="s">
        <v>258</v>
      </c>
      <c r="E93" s="25">
        <v>301</v>
      </c>
      <c r="F93" s="26" t="s">
        <v>259</v>
      </c>
      <c r="G93" s="27">
        <f t="shared" ref="G93:G107" si="104">SUM(H93:AA93)</f>
        <v>85000000</v>
      </c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>
        <v>85000000</v>
      </c>
      <c r="X93" s="27"/>
      <c r="Y93" s="27"/>
      <c r="Z93" s="27"/>
      <c r="AA93" s="27"/>
      <c r="AC93" s="29">
        <f t="shared" ref="AC93:AC128" si="105">+AD93/G93</f>
        <v>0.33628235294117648</v>
      </c>
      <c r="AD93" s="27">
        <f t="shared" ref="AD93:AD107" si="106">SUM(AE93:AX93)</f>
        <v>28584000</v>
      </c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>
        <f>+'[1]JUNIO 2016'!$Z$449</f>
        <v>28584000</v>
      </c>
      <c r="AU93" s="27"/>
      <c r="AV93" s="27"/>
      <c r="AW93" s="27"/>
      <c r="AX93" s="27"/>
      <c r="AY93" s="29">
        <f t="shared" ref="AY93:AY128" si="107">1-AC93</f>
        <v>0.66371764705882352</v>
      </c>
      <c r="AZ93" s="27">
        <f t="shared" ref="AZ93:AZ107" si="108">SUM(BA93:BT93)</f>
        <v>56416000</v>
      </c>
      <c r="BA93" s="27">
        <f t="shared" ref="BA93:BA107" si="109">+H93</f>
        <v>0</v>
      </c>
      <c r="BB93" s="27">
        <f t="shared" ref="BB93:BP107" si="110">I93-AF93</f>
        <v>0</v>
      </c>
      <c r="BC93" s="27">
        <f t="shared" si="110"/>
        <v>0</v>
      </c>
      <c r="BD93" s="27">
        <f t="shared" si="110"/>
        <v>0</v>
      </c>
      <c r="BE93" s="27">
        <f t="shared" ref="BE93:BP99" si="111">+L93-AI93</f>
        <v>0</v>
      </c>
      <c r="BF93" s="27">
        <f t="shared" si="111"/>
        <v>0</v>
      </c>
      <c r="BG93" s="27">
        <f t="shared" si="111"/>
        <v>0</v>
      </c>
      <c r="BH93" s="27">
        <f t="shared" si="111"/>
        <v>0</v>
      </c>
      <c r="BI93" s="27">
        <f t="shared" si="111"/>
        <v>0</v>
      </c>
      <c r="BJ93" s="27">
        <f t="shared" si="111"/>
        <v>0</v>
      </c>
      <c r="BK93" s="27">
        <f t="shared" si="111"/>
        <v>0</v>
      </c>
      <c r="BL93" s="27">
        <f t="shared" si="111"/>
        <v>0</v>
      </c>
      <c r="BM93" s="27">
        <f t="shared" si="111"/>
        <v>0</v>
      </c>
      <c r="BN93" s="27">
        <f t="shared" si="111"/>
        <v>0</v>
      </c>
      <c r="BO93" s="27">
        <f t="shared" si="111"/>
        <v>0</v>
      </c>
      <c r="BP93" s="27">
        <f t="shared" si="111"/>
        <v>56416000</v>
      </c>
      <c r="BQ93" s="27"/>
      <c r="BR93" s="27"/>
      <c r="BS93" s="27">
        <f t="shared" ref="BS93:BS107" si="112">Z93-AW93</f>
        <v>0</v>
      </c>
      <c r="BT93" s="27">
        <f t="shared" ref="BT93:BT99" si="113">+AA93-AX93</f>
        <v>0</v>
      </c>
      <c r="BU93" s="29">
        <f t="shared" ref="BU93:BU128" si="114">+BV93/G93</f>
        <v>0.24247237647058822</v>
      </c>
      <c r="BV93" s="27">
        <f t="shared" ref="BV93:BV107" si="115">SUM(BW93:CP93)</f>
        <v>20610152</v>
      </c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>
        <f>+'[1]JUNIO 2016'!$H$447</f>
        <v>20610152</v>
      </c>
      <c r="CM93" s="27"/>
      <c r="CN93" s="27"/>
      <c r="CO93" s="27"/>
      <c r="CP93" s="27"/>
      <c r="CQ93" s="29">
        <f t="shared" ref="CQ93:CQ128" si="116">1-BU93</f>
        <v>0.75752762352941172</v>
      </c>
      <c r="CR93" s="27">
        <f t="shared" ref="CR93:CR107" si="117">SUM(CS93:DL93)</f>
        <v>64389848</v>
      </c>
      <c r="CS93" s="27">
        <f t="shared" ref="CS93:DB107" si="118">H93-BW93</f>
        <v>0</v>
      </c>
      <c r="CT93" s="27">
        <f t="shared" si="118"/>
        <v>0</v>
      </c>
      <c r="CU93" s="27">
        <f t="shared" si="118"/>
        <v>0</v>
      </c>
      <c r="CV93" s="27">
        <f t="shared" si="118"/>
        <v>0</v>
      </c>
      <c r="CW93" s="27">
        <f t="shared" si="118"/>
        <v>0</v>
      </c>
      <c r="CX93" s="27">
        <f t="shared" si="118"/>
        <v>0</v>
      </c>
      <c r="CY93" s="27">
        <f t="shared" si="118"/>
        <v>0</v>
      </c>
      <c r="CZ93" s="27">
        <f t="shared" ref="CZ93:DB98" si="119">+O93-CD93</f>
        <v>0</v>
      </c>
      <c r="DA93" s="27">
        <f t="shared" si="119"/>
        <v>0</v>
      </c>
      <c r="DB93" s="27">
        <f t="shared" si="119"/>
        <v>0</v>
      </c>
      <c r="DC93" s="27">
        <f t="shared" ref="DC93:DE107" si="120">R93-CG93</f>
        <v>0</v>
      </c>
      <c r="DD93" s="27">
        <f t="shared" si="120"/>
        <v>0</v>
      </c>
      <c r="DE93" s="27">
        <f t="shared" si="120"/>
        <v>0</v>
      </c>
      <c r="DF93" s="27">
        <f t="shared" ref="DF93:DH99" si="121">+U93-CJ93</f>
        <v>0</v>
      </c>
      <c r="DG93" s="27">
        <f t="shared" si="121"/>
        <v>0</v>
      </c>
      <c r="DH93" s="27">
        <f t="shared" si="121"/>
        <v>64389848</v>
      </c>
      <c r="DI93" s="27"/>
      <c r="DJ93" s="27">
        <f t="shared" ref="DJ93:DL99" si="122">+Y93-CN93</f>
        <v>0</v>
      </c>
      <c r="DK93" s="27">
        <f t="shared" si="122"/>
        <v>0</v>
      </c>
      <c r="DL93" s="27">
        <f t="shared" si="122"/>
        <v>0</v>
      </c>
      <c r="DN93" s="193"/>
      <c r="DO93" s="193"/>
      <c r="DP93" s="193"/>
      <c r="DQ93" s="193"/>
      <c r="DR93" s="193"/>
      <c r="DS93" s="189"/>
    </row>
    <row r="94" spans="1:123" s="50" customFormat="1" ht="22.5" hidden="1" customHeight="1" x14ac:dyDescent="0.25">
      <c r="A94" s="246"/>
      <c r="B94" s="230"/>
      <c r="C94" s="75" t="s">
        <v>260</v>
      </c>
      <c r="D94" s="24" t="s">
        <v>261</v>
      </c>
      <c r="E94" s="25">
        <v>301</v>
      </c>
      <c r="F94" s="26" t="s">
        <v>259</v>
      </c>
      <c r="G94" s="27">
        <f t="shared" si="104"/>
        <v>55000000</v>
      </c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>
        <v>55000000</v>
      </c>
      <c r="X94" s="27"/>
      <c r="Y94" s="27"/>
      <c r="Z94" s="27"/>
      <c r="AA94" s="27"/>
      <c r="AC94" s="29">
        <f t="shared" si="105"/>
        <v>1</v>
      </c>
      <c r="AD94" s="27">
        <f t="shared" si="106"/>
        <v>55000000</v>
      </c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>
        <f>+'[1]JUNIO 2016'!$Z$461</f>
        <v>55000000</v>
      </c>
      <c r="AU94" s="27"/>
      <c r="AV94" s="27"/>
      <c r="AW94" s="27"/>
      <c r="AX94" s="27"/>
      <c r="AY94" s="29">
        <f t="shared" si="107"/>
        <v>0</v>
      </c>
      <c r="AZ94" s="27">
        <f t="shared" si="108"/>
        <v>0</v>
      </c>
      <c r="BA94" s="27">
        <f t="shared" si="109"/>
        <v>0</v>
      </c>
      <c r="BB94" s="27">
        <f t="shared" si="110"/>
        <v>0</v>
      </c>
      <c r="BC94" s="27">
        <f t="shared" si="110"/>
        <v>0</v>
      </c>
      <c r="BD94" s="27">
        <f t="shared" si="110"/>
        <v>0</v>
      </c>
      <c r="BE94" s="27">
        <f t="shared" si="111"/>
        <v>0</v>
      </c>
      <c r="BF94" s="27">
        <f t="shared" si="111"/>
        <v>0</v>
      </c>
      <c r="BG94" s="27">
        <f t="shared" si="111"/>
        <v>0</v>
      </c>
      <c r="BH94" s="27">
        <f t="shared" si="111"/>
        <v>0</v>
      </c>
      <c r="BI94" s="27">
        <f t="shared" si="111"/>
        <v>0</v>
      </c>
      <c r="BJ94" s="27">
        <f t="shared" si="111"/>
        <v>0</v>
      </c>
      <c r="BK94" s="27">
        <f t="shared" si="111"/>
        <v>0</v>
      </c>
      <c r="BL94" s="27">
        <f t="shared" si="111"/>
        <v>0</v>
      </c>
      <c r="BM94" s="27">
        <f t="shared" si="111"/>
        <v>0</v>
      </c>
      <c r="BN94" s="27">
        <f t="shared" si="111"/>
        <v>0</v>
      </c>
      <c r="BO94" s="27">
        <f t="shared" si="111"/>
        <v>0</v>
      </c>
      <c r="BP94" s="27">
        <f t="shared" si="111"/>
        <v>0</v>
      </c>
      <c r="BQ94" s="27"/>
      <c r="BR94" s="27"/>
      <c r="BS94" s="27">
        <f t="shared" si="112"/>
        <v>0</v>
      </c>
      <c r="BT94" s="27">
        <f t="shared" si="113"/>
        <v>0</v>
      </c>
      <c r="BU94" s="29">
        <f t="shared" si="114"/>
        <v>0.3922834</v>
      </c>
      <c r="BV94" s="27">
        <f t="shared" si="115"/>
        <v>21575587</v>
      </c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>
        <f>+'[3]MAYO 2016'!$H$383</f>
        <v>21575587</v>
      </c>
      <c r="CM94" s="27"/>
      <c r="CN94" s="27"/>
      <c r="CO94" s="27"/>
      <c r="CP94" s="27"/>
      <c r="CQ94" s="29">
        <f t="shared" si="116"/>
        <v>0.60771660000000005</v>
      </c>
      <c r="CR94" s="27">
        <f t="shared" si="117"/>
        <v>33424413</v>
      </c>
      <c r="CS94" s="27">
        <f t="shared" si="118"/>
        <v>0</v>
      </c>
      <c r="CT94" s="27">
        <f t="shared" si="118"/>
        <v>0</v>
      </c>
      <c r="CU94" s="27">
        <f t="shared" si="118"/>
        <v>0</v>
      </c>
      <c r="CV94" s="27">
        <f t="shared" si="118"/>
        <v>0</v>
      </c>
      <c r="CW94" s="27">
        <f t="shared" si="118"/>
        <v>0</v>
      </c>
      <c r="CX94" s="27">
        <f t="shared" si="118"/>
        <v>0</v>
      </c>
      <c r="CY94" s="27">
        <f t="shared" si="118"/>
        <v>0</v>
      </c>
      <c r="CZ94" s="27">
        <f t="shared" si="119"/>
        <v>0</v>
      </c>
      <c r="DA94" s="27">
        <f t="shared" si="119"/>
        <v>0</v>
      </c>
      <c r="DB94" s="27">
        <f t="shared" si="119"/>
        <v>0</v>
      </c>
      <c r="DC94" s="27">
        <f t="shared" si="120"/>
        <v>0</v>
      </c>
      <c r="DD94" s="27">
        <f t="shared" si="120"/>
        <v>0</v>
      </c>
      <c r="DE94" s="27">
        <f t="shared" si="120"/>
        <v>0</v>
      </c>
      <c r="DF94" s="27">
        <f t="shared" si="121"/>
        <v>0</v>
      </c>
      <c r="DG94" s="27">
        <f t="shared" si="121"/>
        <v>0</v>
      </c>
      <c r="DH94" s="27">
        <f t="shared" si="121"/>
        <v>33424413</v>
      </c>
      <c r="DI94" s="27"/>
      <c r="DJ94" s="27">
        <f t="shared" si="122"/>
        <v>0</v>
      </c>
      <c r="DK94" s="27">
        <f t="shared" si="122"/>
        <v>0</v>
      </c>
      <c r="DL94" s="27">
        <f t="shared" si="122"/>
        <v>0</v>
      </c>
      <c r="DN94" s="193"/>
      <c r="DO94" s="193"/>
      <c r="DP94" s="193"/>
      <c r="DQ94" s="193"/>
      <c r="DR94" s="193"/>
      <c r="DS94" s="189"/>
    </row>
    <row r="95" spans="1:123" s="50" customFormat="1" hidden="1" x14ac:dyDescent="0.25">
      <c r="A95" s="246"/>
      <c r="B95" s="230"/>
      <c r="C95" s="75" t="s">
        <v>262</v>
      </c>
      <c r="D95" s="24" t="s">
        <v>263</v>
      </c>
      <c r="E95" s="25">
        <v>301</v>
      </c>
      <c r="F95" s="26" t="s">
        <v>259</v>
      </c>
      <c r="G95" s="27">
        <f t="shared" si="104"/>
        <v>30000000</v>
      </c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>
        <v>30000000</v>
      </c>
      <c r="X95" s="27"/>
      <c r="Y95" s="27"/>
      <c r="Z95" s="27"/>
      <c r="AA95" s="27"/>
      <c r="AC95" s="29">
        <f t="shared" si="105"/>
        <v>0.64794119999999999</v>
      </c>
      <c r="AD95" s="27">
        <f t="shared" si="106"/>
        <v>19438236</v>
      </c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>
        <f>+'[3]MAYO 2016'!$Z$398</f>
        <v>19438236</v>
      </c>
      <c r="AU95" s="27"/>
      <c r="AV95" s="27"/>
      <c r="AW95" s="27"/>
      <c r="AX95" s="27"/>
      <c r="AY95" s="29">
        <f t="shared" si="107"/>
        <v>0.35205880000000001</v>
      </c>
      <c r="AZ95" s="27">
        <f t="shared" si="108"/>
        <v>10561764</v>
      </c>
      <c r="BA95" s="27">
        <f t="shared" si="109"/>
        <v>0</v>
      </c>
      <c r="BB95" s="27">
        <f t="shared" si="110"/>
        <v>0</v>
      </c>
      <c r="BC95" s="27">
        <f t="shared" si="110"/>
        <v>0</v>
      </c>
      <c r="BD95" s="27">
        <f t="shared" si="110"/>
        <v>0</v>
      </c>
      <c r="BE95" s="27">
        <f t="shared" si="111"/>
        <v>0</v>
      </c>
      <c r="BF95" s="27">
        <f t="shared" si="111"/>
        <v>0</v>
      </c>
      <c r="BG95" s="27">
        <f t="shared" si="111"/>
        <v>0</v>
      </c>
      <c r="BH95" s="27">
        <f t="shared" si="111"/>
        <v>0</v>
      </c>
      <c r="BI95" s="27">
        <f t="shared" si="111"/>
        <v>0</v>
      </c>
      <c r="BJ95" s="27">
        <f t="shared" si="111"/>
        <v>0</v>
      </c>
      <c r="BK95" s="27">
        <f t="shared" si="111"/>
        <v>0</v>
      </c>
      <c r="BL95" s="27">
        <f t="shared" si="111"/>
        <v>0</v>
      </c>
      <c r="BM95" s="27">
        <f t="shared" si="111"/>
        <v>0</v>
      </c>
      <c r="BN95" s="27">
        <f t="shared" si="111"/>
        <v>0</v>
      </c>
      <c r="BO95" s="27">
        <f t="shared" si="111"/>
        <v>0</v>
      </c>
      <c r="BP95" s="27">
        <f t="shared" si="111"/>
        <v>10561764</v>
      </c>
      <c r="BQ95" s="27"/>
      <c r="BR95" s="27"/>
      <c r="BS95" s="27">
        <f t="shared" si="112"/>
        <v>0</v>
      </c>
      <c r="BT95" s="27">
        <f t="shared" si="113"/>
        <v>0</v>
      </c>
      <c r="BU95" s="29">
        <f t="shared" si="114"/>
        <v>0.64351369999999997</v>
      </c>
      <c r="BV95" s="27">
        <f t="shared" si="115"/>
        <v>19305411</v>
      </c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>
        <f>+'[3]MAYO 2016'!$H$396</f>
        <v>19305411</v>
      </c>
      <c r="CM95" s="27"/>
      <c r="CN95" s="27"/>
      <c r="CO95" s="27"/>
      <c r="CP95" s="27"/>
      <c r="CQ95" s="29">
        <f t="shared" si="116"/>
        <v>0.35648630000000003</v>
      </c>
      <c r="CR95" s="27">
        <f t="shared" si="117"/>
        <v>10694589</v>
      </c>
      <c r="CS95" s="27">
        <f t="shared" si="118"/>
        <v>0</v>
      </c>
      <c r="CT95" s="27">
        <f t="shared" si="118"/>
        <v>0</v>
      </c>
      <c r="CU95" s="27">
        <f t="shared" si="118"/>
        <v>0</v>
      </c>
      <c r="CV95" s="27">
        <f t="shared" si="118"/>
        <v>0</v>
      </c>
      <c r="CW95" s="27">
        <f t="shared" si="118"/>
        <v>0</v>
      </c>
      <c r="CX95" s="27">
        <f t="shared" si="118"/>
        <v>0</v>
      </c>
      <c r="CY95" s="27">
        <f t="shared" si="118"/>
        <v>0</v>
      </c>
      <c r="CZ95" s="27">
        <f t="shared" si="119"/>
        <v>0</v>
      </c>
      <c r="DA95" s="27">
        <f t="shared" si="119"/>
        <v>0</v>
      </c>
      <c r="DB95" s="27">
        <f t="shared" si="119"/>
        <v>0</v>
      </c>
      <c r="DC95" s="27">
        <f t="shared" si="120"/>
        <v>0</v>
      </c>
      <c r="DD95" s="27">
        <f t="shared" si="120"/>
        <v>0</v>
      </c>
      <c r="DE95" s="27">
        <f t="shared" si="120"/>
        <v>0</v>
      </c>
      <c r="DF95" s="27">
        <f t="shared" si="121"/>
        <v>0</v>
      </c>
      <c r="DG95" s="27">
        <f t="shared" si="121"/>
        <v>0</v>
      </c>
      <c r="DH95" s="27">
        <f t="shared" si="121"/>
        <v>10694589</v>
      </c>
      <c r="DI95" s="27"/>
      <c r="DJ95" s="27">
        <f t="shared" si="122"/>
        <v>0</v>
      </c>
      <c r="DK95" s="27">
        <f t="shared" si="122"/>
        <v>0</v>
      </c>
      <c r="DL95" s="27">
        <f t="shared" si="122"/>
        <v>0</v>
      </c>
      <c r="DN95" s="193"/>
      <c r="DO95" s="193"/>
      <c r="DP95" s="193"/>
      <c r="DQ95" s="193"/>
      <c r="DR95" s="193"/>
      <c r="DS95" s="189"/>
    </row>
    <row r="96" spans="1:123" ht="30" hidden="1" x14ac:dyDescent="0.25">
      <c r="A96" s="246"/>
      <c r="B96" s="230"/>
      <c r="C96" s="75" t="s">
        <v>264</v>
      </c>
      <c r="D96" s="24" t="s">
        <v>265</v>
      </c>
      <c r="E96" s="25">
        <v>301</v>
      </c>
      <c r="F96" s="26" t="s">
        <v>266</v>
      </c>
      <c r="G96" s="27">
        <f t="shared" si="104"/>
        <v>51000000</v>
      </c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>
        <v>25000000</v>
      </c>
      <c r="X96" s="27"/>
      <c r="Y96" s="27"/>
      <c r="Z96" s="27"/>
      <c r="AA96" s="27">
        <f>25000000+1000000</f>
        <v>26000000</v>
      </c>
      <c r="AC96" s="29">
        <f t="shared" si="105"/>
        <v>0.28146788235294118</v>
      </c>
      <c r="AD96" s="27">
        <f>SUM(AE96:AX96)</f>
        <v>14354862</v>
      </c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>
        <f>+'[1]JUNIO 2016'!$Z$484</f>
        <v>2000000</v>
      </c>
      <c r="AU96" s="27"/>
      <c r="AV96" s="27"/>
      <c r="AW96" s="27"/>
      <c r="AX96" s="27">
        <f>+'[1]JUNIO 2016'!$AG$484</f>
        <v>12354862</v>
      </c>
      <c r="AY96" s="29">
        <f t="shared" si="107"/>
        <v>0.71853211764705882</v>
      </c>
      <c r="AZ96" s="27">
        <f t="shared" si="108"/>
        <v>36645138</v>
      </c>
      <c r="BA96" s="27">
        <f t="shared" si="109"/>
        <v>0</v>
      </c>
      <c r="BB96" s="27">
        <f t="shared" si="110"/>
        <v>0</v>
      </c>
      <c r="BC96" s="27">
        <f t="shared" si="110"/>
        <v>0</v>
      </c>
      <c r="BD96" s="27">
        <f t="shared" si="110"/>
        <v>0</v>
      </c>
      <c r="BE96" s="27">
        <f t="shared" si="111"/>
        <v>0</v>
      </c>
      <c r="BF96" s="27">
        <f t="shared" si="111"/>
        <v>0</v>
      </c>
      <c r="BG96" s="27">
        <f t="shared" si="111"/>
        <v>0</v>
      </c>
      <c r="BH96" s="27">
        <f t="shared" si="111"/>
        <v>0</v>
      </c>
      <c r="BI96" s="27">
        <f t="shared" si="111"/>
        <v>0</v>
      </c>
      <c r="BJ96" s="27">
        <f t="shared" si="111"/>
        <v>0</v>
      </c>
      <c r="BK96" s="27">
        <f t="shared" si="111"/>
        <v>0</v>
      </c>
      <c r="BL96" s="27">
        <f t="shared" si="111"/>
        <v>0</v>
      </c>
      <c r="BM96" s="27">
        <f t="shared" si="111"/>
        <v>0</v>
      </c>
      <c r="BN96" s="27">
        <f t="shared" si="111"/>
        <v>0</v>
      </c>
      <c r="BO96" s="27">
        <f t="shared" si="111"/>
        <v>0</v>
      </c>
      <c r="BP96" s="27">
        <f t="shared" si="111"/>
        <v>23000000</v>
      </c>
      <c r="BQ96" s="27"/>
      <c r="BR96" s="27"/>
      <c r="BS96" s="27">
        <f t="shared" si="112"/>
        <v>0</v>
      </c>
      <c r="BT96" s="27">
        <f t="shared" si="113"/>
        <v>13645138</v>
      </c>
      <c r="BU96" s="29">
        <f t="shared" si="114"/>
        <v>0.26625219607843137</v>
      </c>
      <c r="BV96" s="27">
        <f t="shared" si="115"/>
        <v>13578862</v>
      </c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>
        <v>2000000</v>
      </c>
      <c r="CM96" s="27"/>
      <c r="CN96" s="27"/>
      <c r="CO96" s="27"/>
      <c r="CP96" s="27">
        <f>+'[1]JUNIO 2016'!$H$482-CL96</f>
        <v>11578862</v>
      </c>
      <c r="CQ96" s="29">
        <f t="shared" si="116"/>
        <v>0.73374780392156858</v>
      </c>
      <c r="CR96" s="27">
        <f t="shared" si="117"/>
        <v>37421138</v>
      </c>
      <c r="CS96" s="27">
        <f t="shared" si="118"/>
        <v>0</v>
      </c>
      <c r="CT96" s="27">
        <f t="shared" si="118"/>
        <v>0</v>
      </c>
      <c r="CU96" s="27">
        <f t="shared" si="118"/>
        <v>0</v>
      </c>
      <c r="CV96" s="27">
        <f t="shared" si="118"/>
        <v>0</v>
      </c>
      <c r="CW96" s="27">
        <f t="shared" si="118"/>
        <v>0</v>
      </c>
      <c r="CX96" s="27">
        <f t="shared" si="118"/>
        <v>0</v>
      </c>
      <c r="CY96" s="27">
        <f t="shared" si="118"/>
        <v>0</v>
      </c>
      <c r="CZ96" s="27">
        <f t="shared" si="119"/>
        <v>0</v>
      </c>
      <c r="DA96" s="27">
        <f t="shared" si="119"/>
        <v>0</v>
      </c>
      <c r="DB96" s="27">
        <f t="shared" si="119"/>
        <v>0</v>
      </c>
      <c r="DC96" s="27">
        <f t="shared" si="120"/>
        <v>0</v>
      </c>
      <c r="DD96" s="27">
        <f t="shared" si="120"/>
        <v>0</v>
      </c>
      <c r="DE96" s="27">
        <f t="shared" si="120"/>
        <v>0</v>
      </c>
      <c r="DF96" s="27">
        <f t="shared" si="121"/>
        <v>0</v>
      </c>
      <c r="DG96" s="27">
        <f t="shared" si="121"/>
        <v>0</v>
      </c>
      <c r="DH96" s="27">
        <f t="shared" si="121"/>
        <v>23000000</v>
      </c>
      <c r="DI96" s="27"/>
      <c r="DJ96" s="27">
        <f t="shared" si="122"/>
        <v>0</v>
      </c>
      <c r="DK96" s="27">
        <f t="shared" si="122"/>
        <v>0</v>
      </c>
      <c r="DL96" s="27">
        <f t="shared" si="122"/>
        <v>14421138</v>
      </c>
      <c r="DN96" s="193"/>
      <c r="DO96" s="193"/>
      <c r="DP96" s="193"/>
      <c r="DQ96" s="193"/>
      <c r="DR96" s="193"/>
    </row>
    <row r="97" spans="1:123" hidden="1" x14ac:dyDescent="0.25">
      <c r="A97" s="246"/>
      <c r="B97" s="230"/>
      <c r="C97" s="75" t="s">
        <v>267</v>
      </c>
      <c r="D97" s="24" t="s">
        <v>268</v>
      </c>
      <c r="E97" s="25">
        <v>301</v>
      </c>
      <c r="F97" s="26" t="s">
        <v>259</v>
      </c>
      <c r="G97" s="27">
        <f t="shared" si="104"/>
        <v>34000000</v>
      </c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>
        <v>34000000</v>
      </c>
      <c r="X97" s="27"/>
      <c r="Y97" s="27"/>
      <c r="Z97" s="27"/>
      <c r="AA97" s="27"/>
      <c r="AC97" s="29">
        <f t="shared" si="105"/>
        <v>0.99863861764705886</v>
      </c>
      <c r="AD97" s="27">
        <f t="shared" si="106"/>
        <v>33953713</v>
      </c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>
        <f>+'[4]ABRIL 2016'!$Z$347</f>
        <v>33953713</v>
      </c>
      <c r="AU97" s="27"/>
      <c r="AV97" s="27"/>
      <c r="AW97" s="27"/>
      <c r="AX97" s="27"/>
      <c r="AY97" s="29">
        <f t="shared" si="107"/>
        <v>1.3613823529411428E-3</v>
      </c>
      <c r="AZ97" s="27">
        <f t="shared" si="108"/>
        <v>46287</v>
      </c>
      <c r="BA97" s="27">
        <f t="shared" si="109"/>
        <v>0</v>
      </c>
      <c r="BB97" s="27">
        <f t="shared" si="110"/>
        <v>0</v>
      </c>
      <c r="BC97" s="27">
        <f t="shared" si="110"/>
        <v>0</v>
      </c>
      <c r="BD97" s="27">
        <f t="shared" si="110"/>
        <v>0</v>
      </c>
      <c r="BE97" s="27">
        <f t="shared" si="111"/>
        <v>0</v>
      </c>
      <c r="BF97" s="27">
        <f t="shared" si="111"/>
        <v>0</v>
      </c>
      <c r="BG97" s="27">
        <f t="shared" si="111"/>
        <v>0</v>
      </c>
      <c r="BH97" s="27">
        <f t="shared" si="111"/>
        <v>0</v>
      </c>
      <c r="BI97" s="27">
        <f t="shared" si="111"/>
        <v>0</v>
      </c>
      <c r="BJ97" s="27">
        <f t="shared" si="111"/>
        <v>0</v>
      </c>
      <c r="BK97" s="27">
        <f t="shared" si="111"/>
        <v>0</v>
      </c>
      <c r="BL97" s="27">
        <f t="shared" si="111"/>
        <v>0</v>
      </c>
      <c r="BM97" s="27">
        <f t="shared" si="111"/>
        <v>0</v>
      </c>
      <c r="BN97" s="27">
        <f t="shared" si="111"/>
        <v>0</v>
      </c>
      <c r="BO97" s="27">
        <f t="shared" si="111"/>
        <v>0</v>
      </c>
      <c r="BP97" s="27">
        <f t="shared" si="111"/>
        <v>46287</v>
      </c>
      <c r="BQ97" s="27"/>
      <c r="BR97" s="27"/>
      <c r="BS97" s="27">
        <f t="shared" si="112"/>
        <v>0</v>
      </c>
      <c r="BT97" s="27">
        <f t="shared" si="113"/>
        <v>0</v>
      </c>
      <c r="BU97" s="29">
        <f t="shared" si="114"/>
        <v>0.99650888235294122</v>
      </c>
      <c r="BV97" s="27">
        <f t="shared" si="115"/>
        <v>33881302</v>
      </c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>
        <f>+'[3]MAYO 2016'!$H$416</f>
        <v>33881302</v>
      </c>
      <c r="CM97" s="27"/>
      <c r="CN97" s="27"/>
      <c r="CO97" s="27"/>
      <c r="CP97" s="27"/>
      <c r="CQ97" s="29">
        <f t="shared" si="116"/>
        <v>3.4911176470587835E-3</v>
      </c>
      <c r="CR97" s="27">
        <f t="shared" si="117"/>
        <v>118698</v>
      </c>
      <c r="CS97" s="27">
        <f t="shared" si="118"/>
        <v>0</v>
      </c>
      <c r="CT97" s="27">
        <f t="shared" si="118"/>
        <v>0</v>
      </c>
      <c r="CU97" s="27">
        <f t="shared" si="118"/>
        <v>0</v>
      </c>
      <c r="CV97" s="27">
        <f t="shared" si="118"/>
        <v>0</v>
      </c>
      <c r="CW97" s="27">
        <f t="shared" si="118"/>
        <v>0</v>
      </c>
      <c r="CX97" s="27">
        <f t="shared" si="118"/>
        <v>0</v>
      </c>
      <c r="CY97" s="27">
        <f t="shared" si="118"/>
        <v>0</v>
      </c>
      <c r="CZ97" s="27">
        <f t="shared" si="119"/>
        <v>0</v>
      </c>
      <c r="DA97" s="27">
        <f t="shared" si="119"/>
        <v>0</v>
      </c>
      <c r="DB97" s="27">
        <f t="shared" si="119"/>
        <v>0</v>
      </c>
      <c r="DC97" s="27">
        <f t="shared" si="120"/>
        <v>0</v>
      </c>
      <c r="DD97" s="27">
        <f t="shared" si="120"/>
        <v>0</v>
      </c>
      <c r="DE97" s="27">
        <f t="shared" si="120"/>
        <v>0</v>
      </c>
      <c r="DF97" s="27">
        <f t="shared" si="121"/>
        <v>0</v>
      </c>
      <c r="DG97" s="27">
        <f t="shared" si="121"/>
        <v>0</v>
      </c>
      <c r="DH97" s="27">
        <f t="shared" si="121"/>
        <v>118698</v>
      </c>
      <c r="DI97" s="27"/>
      <c r="DJ97" s="27">
        <f t="shared" si="122"/>
        <v>0</v>
      </c>
      <c r="DK97" s="27">
        <f t="shared" si="122"/>
        <v>0</v>
      </c>
      <c r="DL97" s="27">
        <f t="shared" si="122"/>
        <v>0</v>
      </c>
      <c r="DN97" s="193"/>
      <c r="DO97" s="193"/>
      <c r="DP97" s="193"/>
      <c r="DQ97" s="193"/>
      <c r="DR97" s="193"/>
    </row>
    <row r="98" spans="1:123" ht="15" hidden="1" customHeight="1" x14ac:dyDescent="0.25">
      <c r="A98" s="246"/>
      <c r="B98" s="230"/>
      <c r="C98" s="75" t="s">
        <v>269</v>
      </c>
      <c r="D98" s="24" t="s">
        <v>270</v>
      </c>
      <c r="E98" s="25">
        <v>301</v>
      </c>
      <c r="F98" s="26" t="s">
        <v>182</v>
      </c>
      <c r="G98" s="27">
        <f t="shared" si="104"/>
        <v>60000000</v>
      </c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>
        <v>60000000</v>
      </c>
      <c r="X98" s="27"/>
      <c r="Y98" s="27"/>
      <c r="Z98" s="27"/>
      <c r="AA98" s="27"/>
      <c r="AC98" s="29">
        <f t="shared" si="105"/>
        <v>1</v>
      </c>
      <c r="AD98" s="27">
        <f t="shared" si="106"/>
        <v>60000000</v>
      </c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>
        <f>+'[5]ENERO 2016'!$Z$180</f>
        <v>60000000</v>
      </c>
      <c r="AU98" s="27"/>
      <c r="AV98" s="27"/>
      <c r="AW98" s="27"/>
      <c r="AX98" s="27"/>
      <c r="AY98" s="29">
        <f t="shared" si="107"/>
        <v>0</v>
      </c>
      <c r="AZ98" s="27">
        <f t="shared" si="108"/>
        <v>0</v>
      </c>
      <c r="BA98" s="27">
        <f t="shared" si="109"/>
        <v>0</v>
      </c>
      <c r="BB98" s="27">
        <f t="shared" si="110"/>
        <v>0</v>
      </c>
      <c r="BC98" s="27">
        <f t="shared" si="110"/>
        <v>0</v>
      </c>
      <c r="BD98" s="27">
        <f t="shared" si="110"/>
        <v>0</v>
      </c>
      <c r="BE98" s="27">
        <f t="shared" si="111"/>
        <v>0</v>
      </c>
      <c r="BF98" s="27">
        <f t="shared" si="111"/>
        <v>0</v>
      </c>
      <c r="BG98" s="27">
        <f t="shared" si="111"/>
        <v>0</v>
      </c>
      <c r="BH98" s="27">
        <f t="shared" si="111"/>
        <v>0</v>
      </c>
      <c r="BI98" s="27">
        <f t="shared" si="111"/>
        <v>0</v>
      </c>
      <c r="BJ98" s="27">
        <f t="shared" si="111"/>
        <v>0</v>
      </c>
      <c r="BK98" s="27">
        <f t="shared" si="111"/>
        <v>0</v>
      </c>
      <c r="BL98" s="27">
        <f t="shared" si="111"/>
        <v>0</v>
      </c>
      <c r="BM98" s="27">
        <f t="shared" si="111"/>
        <v>0</v>
      </c>
      <c r="BN98" s="27">
        <f t="shared" si="111"/>
        <v>0</v>
      </c>
      <c r="BO98" s="27">
        <f t="shared" si="111"/>
        <v>0</v>
      </c>
      <c r="BP98" s="27">
        <f t="shared" si="111"/>
        <v>0</v>
      </c>
      <c r="BQ98" s="27"/>
      <c r="BR98" s="27"/>
      <c r="BS98" s="27">
        <f t="shared" si="112"/>
        <v>0</v>
      </c>
      <c r="BT98" s="27">
        <f t="shared" si="113"/>
        <v>0</v>
      </c>
      <c r="BU98" s="29">
        <f t="shared" si="114"/>
        <v>0.83254110000000003</v>
      </c>
      <c r="BV98" s="27">
        <f t="shared" si="115"/>
        <v>49952466</v>
      </c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>
        <f>+'[1]JUNIO 2016'!$H$511</f>
        <v>49952466</v>
      </c>
      <c r="CM98" s="27"/>
      <c r="CN98" s="27"/>
      <c r="CO98" s="27"/>
      <c r="CP98" s="27"/>
      <c r="CQ98" s="29">
        <f t="shared" si="116"/>
        <v>0.16745889999999997</v>
      </c>
      <c r="CR98" s="27">
        <f t="shared" si="117"/>
        <v>10047534</v>
      </c>
      <c r="CS98" s="27">
        <f t="shared" si="118"/>
        <v>0</v>
      </c>
      <c r="CT98" s="27">
        <f t="shared" si="118"/>
        <v>0</v>
      </c>
      <c r="CU98" s="27">
        <f t="shared" si="118"/>
        <v>0</v>
      </c>
      <c r="CV98" s="27">
        <f t="shared" si="118"/>
        <v>0</v>
      </c>
      <c r="CW98" s="27">
        <f t="shared" si="118"/>
        <v>0</v>
      </c>
      <c r="CX98" s="27">
        <f t="shared" si="118"/>
        <v>0</v>
      </c>
      <c r="CY98" s="27">
        <f t="shared" si="118"/>
        <v>0</v>
      </c>
      <c r="CZ98" s="27">
        <f t="shared" si="119"/>
        <v>0</v>
      </c>
      <c r="DA98" s="27">
        <f t="shared" si="119"/>
        <v>0</v>
      </c>
      <c r="DB98" s="27">
        <f t="shared" si="119"/>
        <v>0</v>
      </c>
      <c r="DC98" s="27">
        <f t="shared" si="120"/>
        <v>0</v>
      </c>
      <c r="DD98" s="27">
        <f t="shared" si="120"/>
        <v>0</v>
      </c>
      <c r="DE98" s="27">
        <f t="shared" si="120"/>
        <v>0</v>
      </c>
      <c r="DF98" s="27">
        <f t="shared" si="121"/>
        <v>0</v>
      </c>
      <c r="DG98" s="27">
        <f t="shared" si="121"/>
        <v>0</v>
      </c>
      <c r="DH98" s="27">
        <f t="shared" si="121"/>
        <v>10047534</v>
      </c>
      <c r="DI98" s="27"/>
      <c r="DJ98" s="27">
        <f t="shared" si="122"/>
        <v>0</v>
      </c>
      <c r="DK98" s="27">
        <f t="shared" si="122"/>
        <v>0</v>
      </c>
      <c r="DL98" s="27">
        <f t="shared" si="122"/>
        <v>0</v>
      </c>
      <c r="DN98" s="193"/>
      <c r="DO98" s="193"/>
      <c r="DP98" s="193"/>
      <c r="DQ98" s="193"/>
      <c r="DR98" s="193"/>
    </row>
    <row r="99" spans="1:123" ht="21" hidden="1" customHeight="1" x14ac:dyDescent="0.25">
      <c r="A99" s="246"/>
      <c r="B99" s="230"/>
      <c r="C99" s="75" t="s">
        <v>271</v>
      </c>
      <c r="D99" s="24" t="s">
        <v>272</v>
      </c>
      <c r="E99" s="25">
        <v>301</v>
      </c>
      <c r="F99" s="26" t="s">
        <v>273</v>
      </c>
      <c r="G99" s="27">
        <f t="shared" si="104"/>
        <v>20000000</v>
      </c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>
        <v>20000000</v>
      </c>
      <c r="X99" s="27"/>
      <c r="Y99" s="27"/>
      <c r="Z99" s="27"/>
      <c r="AA99" s="27"/>
      <c r="AC99" s="29">
        <f t="shared" si="105"/>
        <v>0</v>
      </c>
      <c r="AD99" s="27">
        <f t="shared" si="106"/>
        <v>0</v>
      </c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9">
        <f t="shared" si="107"/>
        <v>1</v>
      </c>
      <c r="AZ99" s="27">
        <f t="shared" si="108"/>
        <v>20000000</v>
      </c>
      <c r="BA99" s="27">
        <f t="shared" si="109"/>
        <v>0</v>
      </c>
      <c r="BB99" s="27">
        <f t="shared" si="110"/>
        <v>0</v>
      </c>
      <c r="BC99" s="27">
        <f t="shared" si="110"/>
        <v>0</v>
      </c>
      <c r="BD99" s="27">
        <f t="shared" si="110"/>
        <v>0</v>
      </c>
      <c r="BE99" s="27">
        <f t="shared" si="111"/>
        <v>0</v>
      </c>
      <c r="BF99" s="27">
        <f t="shared" si="111"/>
        <v>0</v>
      </c>
      <c r="BG99" s="27">
        <f t="shared" si="111"/>
        <v>0</v>
      </c>
      <c r="BH99" s="27">
        <f t="shared" si="111"/>
        <v>0</v>
      </c>
      <c r="BI99" s="27">
        <f t="shared" si="111"/>
        <v>0</v>
      </c>
      <c r="BJ99" s="27">
        <f t="shared" si="111"/>
        <v>0</v>
      </c>
      <c r="BK99" s="27">
        <f t="shared" si="111"/>
        <v>0</v>
      </c>
      <c r="BL99" s="27">
        <f t="shared" si="111"/>
        <v>0</v>
      </c>
      <c r="BM99" s="27">
        <f t="shared" si="111"/>
        <v>0</v>
      </c>
      <c r="BN99" s="27">
        <f t="shared" si="111"/>
        <v>0</v>
      </c>
      <c r="BO99" s="27">
        <f t="shared" si="111"/>
        <v>0</v>
      </c>
      <c r="BP99" s="27">
        <f t="shared" si="111"/>
        <v>20000000</v>
      </c>
      <c r="BQ99" s="27"/>
      <c r="BR99" s="27"/>
      <c r="BS99" s="27">
        <f t="shared" si="112"/>
        <v>0</v>
      </c>
      <c r="BT99" s="27">
        <f t="shared" si="113"/>
        <v>0</v>
      </c>
      <c r="BU99" s="29">
        <f t="shared" si="114"/>
        <v>0</v>
      </c>
      <c r="BV99" s="27">
        <f t="shared" si="115"/>
        <v>0</v>
      </c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9">
        <f t="shared" si="116"/>
        <v>1</v>
      </c>
      <c r="CR99" s="27">
        <f t="shared" si="117"/>
        <v>20000000</v>
      </c>
      <c r="CS99" s="27">
        <f t="shared" si="118"/>
        <v>0</v>
      </c>
      <c r="CT99" s="27">
        <f t="shared" si="118"/>
        <v>0</v>
      </c>
      <c r="CU99" s="27">
        <f t="shared" si="118"/>
        <v>0</v>
      </c>
      <c r="CV99" s="27">
        <f t="shared" si="118"/>
        <v>0</v>
      </c>
      <c r="CW99" s="27">
        <f t="shared" si="118"/>
        <v>0</v>
      </c>
      <c r="CX99" s="27">
        <f t="shared" si="118"/>
        <v>0</v>
      </c>
      <c r="CY99" s="27">
        <f t="shared" si="118"/>
        <v>0</v>
      </c>
      <c r="CZ99" s="27">
        <f t="shared" si="118"/>
        <v>0</v>
      </c>
      <c r="DA99" s="27">
        <f t="shared" si="118"/>
        <v>0</v>
      </c>
      <c r="DB99" s="27">
        <f t="shared" si="118"/>
        <v>0</v>
      </c>
      <c r="DC99" s="27">
        <f t="shared" si="120"/>
        <v>0</v>
      </c>
      <c r="DD99" s="27">
        <f t="shared" si="120"/>
        <v>0</v>
      </c>
      <c r="DE99" s="27">
        <f t="shared" si="120"/>
        <v>0</v>
      </c>
      <c r="DF99" s="27">
        <f t="shared" si="121"/>
        <v>0</v>
      </c>
      <c r="DG99" s="27">
        <f t="shared" si="121"/>
        <v>0</v>
      </c>
      <c r="DH99" s="27">
        <f t="shared" si="121"/>
        <v>20000000</v>
      </c>
      <c r="DI99" s="27"/>
      <c r="DJ99" s="27">
        <f t="shared" si="122"/>
        <v>0</v>
      </c>
      <c r="DK99" s="27">
        <f t="shared" si="122"/>
        <v>0</v>
      </c>
      <c r="DL99" s="27">
        <f t="shared" si="122"/>
        <v>0</v>
      </c>
      <c r="DN99" s="193"/>
      <c r="DO99" s="193"/>
      <c r="DP99" s="193"/>
      <c r="DQ99" s="193"/>
      <c r="DR99" s="193"/>
    </row>
    <row r="100" spans="1:123" ht="30" hidden="1" x14ac:dyDescent="0.25">
      <c r="A100" s="246"/>
      <c r="B100" s="231"/>
      <c r="C100" s="75" t="s">
        <v>274</v>
      </c>
      <c r="D100" s="24" t="s">
        <v>275</v>
      </c>
      <c r="E100" s="25">
        <v>301</v>
      </c>
      <c r="F100" s="26" t="s">
        <v>259</v>
      </c>
      <c r="G100" s="27">
        <f t="shared" si="104"/>
        <v>26000000</v>
      </c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>
        <v>26000000</v>
      </c>
      <c r="X100" s="27"/>
      <c r="Y100" s="27"/>
      <c r="Z100" s="27"/>
      <c r="AA100" s="27"/>
      <c r="AC100" s="29">
        <f t="shared" si="105"/>
        <v>1</v>
      </c>
      <c r="AD100" s="27">
        <f t="shared" si="106"/>
        <v>26000000</v>
      </c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>
        <f>+'[5]ENERO 2016'!$Z$190</f>
        <v>26000000</v>
      </c>
      <c r="AU100" s="27"/>
      <c r="AV100" s="27"/>
      <c r="AW100" s="27"/>
      <c r="AX100" s="27"/>
      <c r="AY100" s="29">
        <f t="shared" si="107"/>
        <v>0</v>
      </c>
      <c r="AZ100" s="27">
        <f t="shared" si="108"/>
        <v>0</v>
      </c>
      <c r="BA100" s="27">
        <f t="shared" si="109"/>
        <v>0</v>
      </c>
      <c r="BB100" s="27">
        <f t="shared" si="110"/>
        <v>0</v>
      </c>
      <c r="BC100" s="27">
        <f t="shared" si="110"/>
        <v>0</v>
      </c>
      <c r="BD100" s="27">
        <f t="shared" si="110"/>
        <v>0</v>
      </c>
      <c r="BE100" s="27">
        <f t="shared" si="110"/>
        <v>0</v>
      </c>
      <c r="BF100" s="27">
        <f t="shared" si="110"/>
        <v>0</v>
      </c>
      <c r="BG100" s="27">
        <f t="shared" si="110"/>
        <v>0</v>
      </c>
      <c r="BH100" s="27">
        <f t="shared" si="110"/>
        <v>0</v>
      </c>
      <c r="BI100" s="27">
        <f t="shared" si="110"/>
        <v>0</v>
      </c>
      <c r="BJ100" s="27">
        <f t="shared" si="110"/>
        <v>0</v>
      </c>
      <c r="BK100" s="27">
        <f t="shared" si="110"/>
        <v>0</v>
      </c>
      <c r="BL100" s="27">
        <f t="shared" si="110"/>
        <v>0</v>
      </c>
      <c r="BM100" s="27">
        <f t="shared" si="110"/>
        <v>0</v>
      </c>
      <c r="BN100" s="27">
        <f t="shared" si="110"/>
        <v>0</v>
      </c>
      <c r="BO100" s="27">
        <f t="shared" si="110"/>
        <v>0</v>
      </c>
      <c r="BP100" s="27">
        <f t="shared" si="110"/>
        <v>0</v>
      </c>
      <c r="BQ100" s="27"/>
      <c r="BR100" s="27">
        <f>Y100-AV100</f>
        <v>0</v>
      </c>
      <c r="BS100" s="27">
        <f t="shared" si="112"/>
        <v>0</v>
      </c>
      <c r="BT100" s="27">
        <f>AA100-AX100</f>
        <v>0</v>
      </c>
      <c r="BU100" s="29">
        <f t="shared" si="114"/>
        <v>0.42299038461538463</v>
      </c>
      <c r="BV100" s="27">
        <f t="shared" si="115"/>
        <v>10997750</v>
      </c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>
        <f>+'[1]JUNIO 2016'!$H$539</f>
        <v>10997750</v>
      </c>
      <c r="CM100" s="27"/>
      <c r="CN100" s="27"/>
      <c r="CO100" s="27"/>
      <c r="CP100" s="27"/>
      <c r="CQ100" s="29">
        <f t="shared" si="116"/>
        <v>0.57700961538461537</v>
      </c>
      <c r="CR100" s="27">
        <f t="shared" si="117"/>
        <v>15002250</v>
      </c>
      <c r="CS100" s="27">
        <f t="shared" si="118"/>
        <v>0</v>
      </c>
      <c r="CT100" s="27">
        <f t="shared" si="118"/>
        <v>0</v>
      </c>
      <c r="CU100" s="27">
        <f t="shared" si="118"/>
        <v>0</v>
      </c>
      <c r="CV100" s="27">
        <f t="shared" si="118"/>
        <v>0</v>
      </c>
      <c r="CW100" s="27">
        <f t="shared" si="118"/>
        <v>0</v>
      </c>
      <c r="CX100" s="27">
        <f t="shared" si="118"/>
        <v>0</v>
      </c>
      <c r="CY100" s="27">
        <f t="shared" si="118"/>
        <v>0</v>
      </c>
      <c r="CZ100" s="27">
        <f t="shared" si="118"/>
        <v>0</v>
      </c>
      <c r="DA100" s="27">
        <f t="shared" si="118"/>
        <v>0</v>
      </c>
      <c r="DB100" s="27">
        <f t="shared" si="118"/>
        <v>0</v>
      </c>
      <c r="DC100" s="27">
        <f t="shared" si="120"/>
        <v>0</v>
      </c>
      <c r="DD100" s="27">
        <f t="shared" si="120"/>
        <v>0</v>
      </c>
      <c r="DE100" s="27">
        <f t="shared" si="120"/>
        <v>0</v>
      </c>
      <c r="DF100" s="27">
        <f>U100-CJ100</f>
        <v>0</v>
      </c>
      <c r="DG100" s="27">
        <f>V100-CK100</f>
        <v>0</v>
      </c>
      <c r="DH100" s="27">
        <f>W100-CL100</f>
        <v>15002250</v>
      </c>
      <c r="DI100" s="27"/>
      <c r="DJ100" s="27">
        <f>Y100-CN100</f>
        <v>0</v>
      </c>
      <c r="DK100" s="27">
        <f>Z100-CO100</f>
        <v>0</v>
      </c>
      <c r="DL100" s="27">
        <f>AA100-CP100</f>
        <v>0</v>
      </c>
      <c r="DN100" s="193"/>
      <c r="DO100" s="193"/>
      <c r="DP100" s="193"/>
      <c r="DQ100" s="193"/>
      <c r="DR100" s="193"/>
    </row>
    <row r="101" spans="1:123" ht="33" hidden="1" customHeight="1" x14ac:dyDescent="0.25">
      <c r="A101" s="246"/>
      <c r="B101" s="93" t="s">
        <v>276</v>
      </c>
      <c r="C101" s="94" t="s">
        <v>277</v>
      </c>
      <c r="D101" s="24" t="s">
        <v>278</v>
      </c>
      <c r="E101" s="36">
        <v>301</v>
      </c>
      <c r="F101" s="26" t="s">
        <v>279</v>
      </c>
      <c r="G101" s="27">
        <f t="shared" si="104"/>
        <v>323000000</v>
      </c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>
        <v>322000000</v>
      </c>
      <c r="X101" s="27"/>
      <c r="Y101" s="27"/>
      <c r="Z101" s="27"/>
      <c r="AA101" s="27">
        <f>1000000</f>
        <v>1000000</v>
      </c>
      <c r="AC101" s="29">
        <f t="shared" si="105"/>
        <v>0.69181694427244578</v>
      </c>
      <c r="AD101" s="27">
        <f t="shared" si="106"/>
        <v>223456873</v>
      </c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>
        <f>+'[1]JUNIO 2016'!$Z$549</f>
        <v>223456873</v>
      </c>
      <c r="AU101" s="27"/>
      <c r="AV101" s="27"/>
      <c r="AW101" s="27"/>
      <c r="AX101" s="27"/>
      <c r="AY101" s="29">
        <f t="shared" si="107"/>
        <v>0.30818305572755422</v>
      </c>
      <c r="AZ101" s="27">
        <f t="shared" si="108"/>
        <v>99543127</v>
      </c>
      <c r="BA101" s="27">
        <f t="shared" si="109"/>
        <v>0</v>
      </c>
      <c r="BB101" s="27">
        <f t="shared" si="110"/>
        <v>0</v>
      </c>
      <c r="BC101" s="27">
        <f t="shared" si="110"/>
        <v>0</v>
      </c>
      <c r="BD101" s="27">
        <f t="shared" si="110"/>
        <v>0</v>
      </c>
      <c r="BE101" s="27">
        <f t="shared" ref="BE101:BP107" si="123">+L101-AI101</f>
        <v>0</v>
      </c>
      <c r="BF101" s="27">
        <f t="shared" si="123"/>
        <v>0</v>
      </c>
      <c r="BG101" s="27">
        <f t="shared" si="123"/>
        <v>0</v>
      </c>
      <c r="BH101" s="27">
        <f t="shared" si="123"/>
        <v>0</v>
      </c>
      <c r="BI101" s="27">
        <f t="shared" si="123"/>
        <v>0</v>
      </c>
      <c r="BJ101" s="27">
        <f t="shared" si="123"/>
        <v>0</v>
      </c>
      <c r="BK101" s="27">
        <f t="shared" si="123"/>
        <v>0</v>
      </c>
      <c r="BL101" s="27">
        <f t="shared" si="123"/>
        <v>0</v>
      </c>
      <c r="BM101" s="27">
        <f t="shared" si="123"/>
        <v>0</v>
      </c>
      <c r="BN101" s="27">
        <f t="shared" si="123"/>
        <v>0</v>
      </c>
      <c r="BO101" s="27">
        <f t="shared" si="123"/>
        <v>0</v>
      </c>
      <c r="BP101" s="27">
        <f t="shared" si="123"/>
        <v>98543127</v>
      </c>
      <c r="BQ101" s="27"/>
      <c r="BR101" s="27"/>
      <c r="BS101" s="27">
        <f t="shared" si="112"/>
        <v>0</v>
      </c>
      <c r="BT101" s="27">
        <f t="shared" ref="BT101:BT107" si="124">+AA101-AX101</f>
        <v>1000000</v>
      </c>
      <c r="BU101" s="29">
        <f t="shared" si="114"/>
        <v>0.66958216408668736</v>
      </c>
      <c r="BV101" s="27">
        <f t="shared" si="115"/>
        <v>216275039</v>
      </c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>
        <f>+'[1]JUNIO 2016'!$H$547</f>
        <v>216275039</v>
      </c>
      <c r="CM101" s="27"/>
      <c r="CN101" s="27"/>
      <c r="CO101" s="27"/>
      <c r="CP101" s="27"/>
      <c r="CQ101" s="29">
        <f t="shared" si="116"/>
        <v>0.33041783591331264</v>
      </c>
      <c r="CR101" s="27">
        <f t="shared" si="117"/>
        <v>106724961</v>
      </c>
      <c r="CS101" s="27">
        <f t="shared" si="118"/>
        <v>0</v>
      </c>
      <c r="CT101" s="27">
        <f t="shared" si="118"/>
        <v>0</v>
      </c>
      <c r="CU101" s="27">
        <f t="shared" si="118"/>
        <v>0</v>
      </c>
      <c r="CV101" s="27">
        <f t="shared" si="118"/>
        <v>0</v>
      </c>
      <c r="CW101" s="27">
        <f t="shared" si="118"/>
        <v>0</v>
      </c>
      <c r="CX101" s="27">
        <f t="shared" si="118"/>
        <v>0</v>
      </c>
      <c r="CY101" s="27">
        <f t="shared" si="118"/>
        <v>0</v>
      </c>
      <c r="CZ101" s="27">
        <f t="shared" ref="CZ101:DA107" si="125">+O101-CD101</f>
        <v>0</v>
      </c>
      <c r="DA101" s="27">
        <f t="shared" si="125"/>
        <v>0</v>
      </c>
      <c r="DB101" s="27">
        <f t="shared" si="118"/>
        <v>0</v>
      </c>
      <c r="DC101" s="27">
        <f t="shared" si="120"/>
        <v>0</v>
      </c>
      <c r="DD101" s="27">
        <f t="shared" si="120"/>
        <v>0</v>
      </c>
      <c r="DE101" s="27">
        <f t="shared" si="120"/>
        <v>0</v>
      </c>
      <c r="DF101" s="27">
        <f t="shared" ref="DF101:DH107" si="126">+U101-CJ101</f>
        <v>0</v>
      </c>
      <c r="DG101" s="27">
        <f t="shared" si="126"/>
        <v>0</v>
      </c>
      <c r="DH101" s="27">
        <f t="shared" si="126"/>
        <v>105724961</v>
      </c>
      <c r="DI101" s="27"/>
      <c r="DJ101" s="27">
        <f t="shared" ref="DJ101:DL107" si="127">+Y101-CN101</f>
        <v>0</v>
      </c>
      <c r="DK101" s="27">
        <f t="shared" si="127"/>
        <v>0</v>
      </c>
      <c r="DL101" s="27">
        <f t="shared" si="127"/>
        <v>1000000</v>
      </c>
      <c r="DN101" s="193"/>
      <c r="DO101" s="193"/>
      <c r="DP101" s="193"/>
      <c r="DQ101" s="193"/>
      <c r="DR101" s="193"/>
    </row>
    <row r="102" spans="1:123" ht="48" hidden="1" customHeight="1" x14ac:dyDescent="0.25">
      <c r="A102" s="246"/>
      <c r="B102" s="95" t="s">
        <v>280</v>
      </c>
      <c r="C102" s="75" t="s">
        <v>281</v>
      </c>
      <c r="D102" s="24" t="s">
        <v>282</v>
      </c>
      <c r="E102" s="25">
        <v>301</v>
      </c>
      <c r="F102" s="26" t="s">
        <v>283</v>
      </c>
      <c r="G102" s="27">
        <f t="shared" si="104"/>
        <v>325425485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>
        <v>316000000</v>
      </c>
      <c r="X102" s="27"/>
      <c r="Y102" s="27"/>
      <c r="Z102" s="27"/>
      <c r="AA102" s="27">
        <f>6000000+1000000+2425485</f>
        <v>9425485</v>
      </c>
      <c r="AC102" s="29">
        <f t="shared" si="105"/>
        <v>0.42678004152010407</v>
      </c>
      <c r="AD102" s="27">
        <f t="shared" si="106"/>
        <v>138885102</v>
      </c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>
        <f>+'[1]JUNIO 2016'!$Z$584</f>
        <v>134185102</v>
      </c>
      <c r="AU102" s="27"/>
      <c r="AV102" s="27"/>
      <c r="AW102" s="27"/>
      <c r="AX102" s="27">
        <f>+'[1]JUNIO 2016'!$AG$584</f>
        <v>4700000</v>
      </c>
      <c r="AY102" s="29">
        <f t="shared" si="107"/>
        <v>0.57321995847989593</v>
      </c>
      <c r="AZ102" s="27">
        <f t="shared" si="108"/>
        <v>186540383</v>
      </c>
      <c r="BA102" s="27">
        <f t="shared" si="109"/>
        <v>0</v>
      </c>
      <c r="BB102" s="27">
        <f t="shared" si="110"/>
        <v>0</v>
      </c>
      <c r="BC102" s="27">
        <f t="shared" si="110"/>
        <v>0</v>
      </c>
      <c r="BD102" s="27">
        <f t="shared" si="110"/>
        <v>0</v>
      </c>
      <c r="BE102" s="27">
        <f t="shared" si="123"/>
        <v>0</v>
      </c>
      <c r="BF102" s="27">
        <f t="shared" si="123"/>
        <v>0</v>
      </c>
      <c r="BG102" s="27">
        <f t="shared" si="123"/>
        <v>0</v>
      </c>
      <c r="BH102" s="27">
        <f t="shared" si="123"/>
        <v>0</v>
      </c>
      <c r="BI102" s="27">
        <f t="shared" si="123"/>
        <v>0</v>
      </c>
      <c r="BJ102" s="27">
        <f t="shared" si="123"/>
        <v>0</v>
      </c>
      <c r="BK102" s="27">
        <f t="shared" si="123"/>
        <v>0</v>
      </c>
      <c r="BL102" s="27">
        <f t="shared" si="123"/>
        <v>0</v>
      </c>
      <c r="BM102" s="27">
        <f t="shared" si="123"/>
        <v>0</v>
      </c>
      <c r="BN102" s="27">
        <f t="shared" si="123"/>
        <v>0</v>
      </c>
      <c r="BO102" s="27">
        <f t="shared" si="123"/>
        <v>0</v>
      </c>
      <c r="BP102" s="27">
        <f t="shared" si="123"/>
        <v>181814898</v>
      </c>
      <c r="BQ102" s="27"/>
      <c r="BR102" s="27"/>
      <c r="BS102" s="27">
        <f t="shared" si="112"/>
        <v>0</v>
      </c>
      <c r="BT102" s="27">
        <f t="shared" si="124"/>
        <v>4725485</v>
      </c>
      <c r="BU102" s="29">
        <f t="shared" si="114"/>
        <v>0.41936507216083585</v>
      </c>
      <c r="BV102" s="27">
        <f t="shared" si="115"/>
        <v>136472082</v>
      </c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>
        <f>+'[1]JUNIO 2016'!$H$582-CP102</f>
        <v>132865602</v>
      </c>
      <c r="CM102" s="27"/>
      <c r="CN102" s="27"/>
      <c r="CO102" s="27"/>
      <c r="CP102" s="27">
        <f>+'[1]JUNIO 2016'!$AG$602+'[1]JUNIO 2016'!$H$603+'[1]JUNIO 2016'!$AG$611+'[1]JUNIO 2016'!$H$621</f>
        <v>3606480</v>
      </c>
      <c r="CQ102" s="29">
        <f t="shared" si="116"/>
        <v>0.58063492783916415</v>
      </c>
      <c r="CR102" s="27">
        <f t="shared" si="117"/>
        <v>188953403</v>
      </c>
      <c r="CS102" s="27">
        <f t="shared" si="118"/>
        <v>0</v>
      </c>
      <c r="CT102" s="27">
        <f t="shared" si="118"/>
        <v>0</v>
      </c>
      <c r="CU102" s="27">
        <f t="shared" si="118"/>
        <v>0</v>
      </c>
      <c r="CV102" s="27">
        <f t="shared" si="118"/>
        <v>0</v>
      </c>
      <c r="CW102" s="27">
        <f t="shared" si="118"/>
        <v>0</v>
      </c>
      <c r="CX102" s="27">
        <f t="shared" si="118"/>
        <v>0</v>
      </c>
      <c r="CY102" s="27">
        <f t="shared" si="118"/>
        <v>0</v>
      </c>
      <c r="CZ102" s="27">
        <f t="shared" si="125"/>
        <v>0</v>
      </c>
      <c r="DA102" s="27">
        <f t="shared" si="125"/>
        <v>0</v>
      </c>
      <c r="DB102" s="27">
        <f t="shared" si="118"/>
        <v>0</v>
      </c>
      <c r="DC102" s="27">
        <f t="shared" si="120"/>
        <v>0</v>
      </c>
      <c r="DD102" s="27">
        <f t="shared" si="120"/>
        <v>0</v>
      </c>
      <c r="DE102" s="27">
        <f t="shared" si="120"/>
        <v>0</v>
      </c>
      <c r="DF102" s="27">
        <f t="shared" si="126"/>
        <v>0</v>
      </c>
      <c r="DG102" s="27">
        <f t="shared" si="126"/>
        <v>0</v>
      </c>
      <c r="DH102" s="27">
        <f t="shared" si="126"/>
        <v>183134398</v>
      </c>
      <c r="DI102" s="27"/>
      <c r="DJ102" s="27">
        <f t="shared" si="127"/>
        <v>0</v>
      </c>
      <c r="DK102" s="27">
        <f t="shared" si="127"/>
        <v>0</v>
      </c>
      <c r="DL102" s="27">
        <f t="shared" si="127"/>
        <v>5819005</v>
      </c>
      <c r="DN102" s="193"/>
      <c r="DO102" s="193"/>
      <c r="DP102" s="193"/>
      <c r="DQ102" s="193"/>
      <c r="DR102" s="193"/>
    </row>
    <row r="103" spans="1:123" ht="32.25" hidden="1" customHeight="1" x14ac:dyDescent="0.25">
      <c r="A103" s="246"/>
      <c r="B103" s="95" t="s">
        <v>284</v>
      </c>
      <c r="C103" s="75" t="s">
        <v>285</v>
      </c>
      <c r="D103" s="24" t="s">
        <v>286</v>
      </c>
      <c r="E103" s="25">
        <v>301</v>
      </c>
      <c r="F103" s="26" t="s">
        <v>287</v>
      </c>
      <c r="G103" s="27">
        <f t="shared" si="104"/>
        <v>72940000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>
        <v>67000000</v>
      </c>
      <c r="X103" s="27"/>
      <c r="Y103" s="27"/>
      <c r="Z103" s="27"/>
      <c r="AA103" s="27">
        <f>2000000+2682410+1000000+257590</f>
        <v>5940000</v>
      </c>
      <c r="AC103" s="29">
        <f t="shared" si="105"/>
        <v>0.26624622977789963</v>
      </c>
      <c r="AD103" s="27">
        <f t="shared" si="106"/>
        <v>19420000</v>
      </c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>
        <f>+'[1]JUNIO 2016'!$Z$626</f>
        <v>17580000</v>
      </c>
      <c r="AU103" s="27"/>
      <c r="AV103" s="27"/>
      <c r="AW103" s="27"/>
      <c r="AX103" s="27">
        <f>+'[1]JUNIO 2016'!$AG$626</f>
        <v>1840000</v>
      </c>
      <c r="AY103" s="29">
        <f t="shared" si="107"/>
        <v>0.73375377022210042</v>
      </c>
      <c r="AZ103" s="27">
        <f t="shared" si="108"/>
        <v>53520000</v>
      </c>
      <c r="BA103" s="27">
        <f t="shared" si="109"/>
        <v>0</v>
      </c>
      <c r="BB103" s="27">
        <f t="shared" si="110"/>
        <v>0</v>
      </c>
      <c r="BC103" s="27">
        <f t="shared" si="110"/>
        <v>0</v>
      </c>
      <c r="BD103" s="27">
        <f t="shared" si="110"/>
        <v>0</v>
      </c>
      <c r="BE103" s="27">
        <f t="shared" si="123"/>
        <v>0</v>
      </c>
      <c r="BF103" s="27">
        <f t="shared" si="123"/>
        <v>0</v>
      </c>
      <c r="BG103" s="27">
        <f t="shared" si="123"/>
        <v>0</v>
      </c>
      <c r="BH103" s="27">
        <f t="shared" si="123"/>
        <v>0</v>
      </c>
      <c r="BI103" s="27">
        <f t="shared" si="123"/>
        <v>0</v>
      </c>
      <c r="BJ103" s="27">
        <f t="shared" si="123"/>
        <v>0</v>
      </c>
      <c r="BK103" s="27">
        <f t="shared" si="123"/>
        <v>0</v>
      </c>
      <c r="BL103" s="27">
        <f t="shared" si="123"/>
        <v>0</v>
      </c>
      <c r="BM103" s="27">
        <f t="shared" si="123"/>
        <v>0</v>
      </c>
      <c r="BN103" s="27">
        <f t="shared" si="123"/>
        <v>0</v>
      </c>
      <c r="BO103" s="27">
        <f t="shared" si="123"/>
        <v>0</v>
      </c>
      <c r="BP103" s="27">
        <f t="shared" si="123"/>
        <v>49420000</v>
      </c>
      <c r="BQ103" s="27"/>
      <c r="BR103" s="27"/>
      <c r="BS103" s="27">
        <f t="shared" si="112"/>
        <v>0</v>
      </c>
      <c r="BT103" s="27">
        <f t="shared" si="124"/>
        <v>4100000</v>
      </c>
      <c r="BU103" s="29">
        <f t="shared" si="114"/>
        <v>0.26624622977789963</v>
      </c>
      <c r="BV103" s="27">
        <f t="shared" si="115"/>
        <v>19420000</v>
      </c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>
        <f>+'[1]JUNIO 2016'!$H$629</f>
        <v>17580000</v>
      </c>
      <c r="CM103" s="27"/>
      <c r="CN103" s="27"/>
      <c r="CO103" s="27"/>
      <c r="CP103" s="27">
        <f>+'[1]JUNIO 2016'!$H$627+'[1]JUNIO 2016'!$H$628+'[1]JUNIO 2016'!$H$631</f>
        <v>1840000</v>
      </c>
      <c r="CQ103" s="29">
        <f t="shared" si="116"/>
        <v>0.73375377022210042</v>
      </c>
      <c r="CR103" s="27">
        <f t="shared" si="117"/>
        <v>53520000</v>
      </c>
      <c r="CS103" s="27">
        <f t="shared" si="118"/>
        <v>0</v>
      </c>
      <c r="CT103" s="27">
        <f t="shared" si="118"/>
        <v>0</v>
      </c>
      <c r="CU103" s="27">
        <f t="shared" si="118"/>
        <v>0</v>
      </c>
      <c r="CV103" s="27">
        <f t="shared" si="118"/>
        <v>0</v>
      </c>
      <c r="CW103" s="27">
        <f t="shared" si="118"/>
        <v>0</v>
      </c>
      <c r="CX103" s="27">
        <f t="shared" si="118"/>
        <v>0</v>
      </c>
      <c r="CY103" s="27">
        <f t="shared" si="118"/>
        <v>0</v>
      </c>
      <c r="CZ103" s="27">
        <f t="shared" si="125"/>
        <v>0</v>
      </c>
      <c r="DA103" s="27">
        <f t="shared" si="125"/>
        <v>0</v>
      </c>
      <c r="DB103" s="27">
        <f t="shared" si="118"/>
        <v>0</v>
      </c>
      <c r="DC103" s="27">
        <f t="shared" si="120"/>
        <v>0</v>
      </c>
      <c r="DD103" s="27">
        <f t="shared" si="120"/>
        <v>0</v>
      </c>
      <c r="DE103" s="27">
        <f t="shared" si="120"/>
        <v>0</v>
      </c>
      <c r="DF103" s="27">
        <f t="shared" si="126"/>
        <v>0</v>
      </c>
      <c r="DG103" s="27">
        <f t="shared" si="126"/>
        <v>0</v>
      </c>
      <c r="DH103" s="27">
        <f t="shared" si="126"/>
        <v>49420000</v>
      </c>
      <c r="DI103" s="27"/>
      <c r="DJ103" s="27">
        <f t="shared" si="127"/>
        <v>0</v>
      </c>
      <c r="DK103" s="27">
        <f t="shared" si="127"/>
        <v>0</v>
      </c>
      <c r="DL103" s="27">
        <f t="shared" si="127"/>
        <v>4100000</v>
      </c>
      <c r="DN103" s="193"/>
      <c r="DO103" s="193"/>
      <c r="DP103" s="193"/>
      <c r="DQ103" s="193"/>
      <c r="DR103" s="193"/>
    </row>
    <row r="104" spans="1:123" hidden="1" x14ac:dyDescent="0.25">
      <c r="A104" s="246"/>
      <c r="B104" s="229" t="s">
        <v>288</v>
      </c>
      <c r="C104" s="75" t="s">
        <v>289</v>
      </c>
      <c r="D104" s="24" t="s">
        <v>290</v>
      </c>
      <c r="E104" s="25">
        <v>301</v>
      </c>
      <c r="F104" s="26" t="s">
        <v>259</v>
      </c>
      <c r="G104" s="27">
        <f t="shared" si="104"/>
        <v>1272000000</v>
      </c>
      <c r="H104" s="27"/>
      <c r="I104" s="27">
        <v>200000000</v>
      </c>
      <c r="J104" s="27">
        <v>268168096</v>
      </c>
      <c r="K104" s="27"/>
      <c r="L104" s="27">
        <v>701280247</v>
      </c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>
        <v>102551657</v>
      </c>
      <c r="X104" s="27"/>
      <c r="Y104" s="27"/>
      <c r="Z104" s="27"/>
      <c r="AA104" s="27"/>
      <c r="AC104" s="29">
        <f t="shared" si="105"/>
        <v>1</v>
      </c>
      <c r="AD104" s="27">
        <f t="shared" si="106"/>
        <v>1272000000</v>
      </c>
      <c r="AE104" s="27"/>
      <c r="AF104" s="27">
        <f>+'[5]ENERO 2016'!$K$218</f>
        <v>200000000</v>
      </c>
      <c r="AG104" s="27">
        <f>+'[5]ENERO 2016'!$M$218</f>
        <v>268168096</v>
      </c>
      <c r="AH104" s="27"/>
      <c r="AI104" s="27">
        <f>+'[5]ENERO 2016'!$O$218</f>
        <v>701280247</v>
      </c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>
        <f>+'[5]ENERO 2016'!$Z$218</f>
        <v>102551657</v>
      </c>
      <c r="AU104" s="27"/>
      <c r="AV104" s="27"/>
      <c r="AW104" s="27"/>
      <c r="AX104" s="27"/>
      <c r="AY104" s="29">
        <f t="shared" si="107"/>
        <v>0</v>
      </c>
      <c r="AZ104" s="27">
        <f t="shared" si="108"/>
        <v>0</v>
      </c>
      <c r="BA104" s="27">
        <f t="shared" si="109"/>
        <v>0</v>
      </c>
      <c r="BB104" s="27">
        <f t="shared" si="110"/>
        <v>0</v>
      </c>
      <c r="BC104" s="27">
        <f t="shared" si="110"/>
        <v>0</v>
      </c>
      <c r="BD104" s="27">
        <f t="shared" si="110"/>
        <v>0</v>
      </c>
      <c r="BE104" s="27">
        <f t="shared" si="123"/>
        <v>0</v>
      </c>
      <c r="BF104" s="27">
        <f t="shared" si="123"/>
        <v>0</v>
      </c>
      <c r="BG104" s="27">
        <f t="shared" si="123"/>
        <v>0</v>
      </c>
      <c r="BH104" s="27">
        <f t="shared" si="123"/>
        <v>0</v>
      </c>
      <c r="BI104" s="27">
        <f t="shared" si="123"/>
        <v>0</v>
      </c>
      <c r="BJ104" s="27">
        <f t="shared" si="123"/>
        <v>0</v>
      </c>
      <c r="BK104" s="27">
        <f t="shared" si="123"/>
        <v>0</v>
      </c>
      <c r="BL104" s="27">
        <f t="shared" si="123"/>
        <v>0</v>
      </c>
      <c r="BM104" s="27">
        <f t="shared" si="123"/>
        <v>0</v>
      </c>
      <c r="BN104" s="27">
        <f t="shared" si="123"/>
        <v>0</v>
      </c>
      <c r="BO104" s="27">
        <f t="shared" si="123"/>
        <v>0</v>
      </c>
      <c r="BP104" s="27">
        <f t="shared" si="123"/>
        <v>0</v>
      </c>
      <c r="BQ104" s="27"/>
      <c r="BR104" s="27"/>
      <c r="BS104" s="27">
        <f t="shared" si="112"/>
        <v>0</v>
      </c>
      <c r="BT104" s="27">
        <f t="shared" si="124"/>
        <v>0</v>
      </c>
      <c r="BU104" s="29">
        <f t="shared" si="114"/>
        <v>0.99403155896226414</v>
      </c>
      <c r="BV104" s="27">
        <f t="shared" si="115"/>
        <v>1264408143</v>
      </c>
      <c r="BW104" s="27"/>
      <c r="BX104" s="27">
        <f>+'[4]ABRIL 2016'!$H$457</f>
        <v>192408143</v>
      </c>
      <c r="BY104" s="27">
        <v>268168096</v>
      </c>
      <c r="BZ104" s="27"/>
      <c r="CA104" s="27">
        <v>701280247</v>
      </c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>
        <v>102551657</v>
      </c>
      <c r="CM104" s="27"/>
      <c r="CN104" s="27"/>
      <c r="CO104" s="27"/>
      <c r="CP104" s="27"/>
      <c r="CQ104" s="29">
        <f t="shared" si="116"/>
        <v>5.968441037735861E-3</v>
      </c>
      <c r="CR104" s="27">
        <f t="shared" si="117"/>
        <v>7591857</v>
      </c>
      <c r="CS104" s="27">
        <f t="shared" si="118"/>
        <v>0</v>
      </c>
      <c r="CT104" s="27">
        <f t="shared" si="118"/>
        <v>7591857</v>
      </c>
      <c r="CU104" s="27">
        <f t="shared" si="118"/>
        <v>0</v>
      </c>
      <c r="CV104" s="27">
        <f t="shared" si="118"/>
        <v>0</v>
      </c>
      <c r="CW104" s="27">
        <f t="shared" si="118"/>
        <v>0</v>
      </c>
      <c r="CX104" s="27">
        <f t="shared" si="118"/>
        <v>0</v>
      </c>
      <c r="CY104" s="27">
        <f t="shared" si="118"/>
        <v>0</v>
      </c>
      <c r="CZ104" s="27">
        <f t="shared" si="125"/>
        <v>0</v>
      </c>
      <c r="DA104" s="27">
        <f t="shared" si="125"/>
        <v>0</v>
      </c>
      <c r="DB104" s="27">
        <f t="shared" si="118"/>
        <v>0</v>
      </c>
      <c r="DC104" s="27">
        <f t="shared" si="120"/>
        <v>0</v>
      </c>
      <c r="DD104" s="27">
        <f t="shared" si="120"/>
        <v>0</v>
      </c>
      <c r="DE104" s="27">
        <f t="shared" si="120"/>
        <v>0</v>
      </c>
      <c r="DF104" s="27">
        <f t="shared" si="126"/>
        <v>0</v>
      </c>
      <c r="DG104" s="27">
        <f t="shared" si="126"/>
        <v>0</v>
      </c>
      <c r="DH104" s="27">
        <f t="shared" si="126"/>
        <v>0</v>
      </c>
      <c r="DI104" s="27"/>
      <c r="DJ104" s="27">
        <f t="shared" si="127"/>
        <v>0</v>
      </c>
      <c r="DK104" s="27">
        <f t="shared" si="127"/>
        <v>0</v>
      </c>
      <c r="DL104" s="27">
        <f t="shared" si="127"/>
        <v>0</v>
      </c>
      <c r="DN104" s="193"/>
      <c r="DO104" s="193"/>
      <c r="DP104" s="193"/>
      <c r="DQ104" s="193"/>
      <c r="DR104" s="193"/>
    </row>
    <row r="105" spans="1:123" ht="19.5" hidden="1" customHeight="1" x14ac:dyDescent="0.25">
      <c r="A105" s="246"/>
      <c r="B105" s="230"/>
      <c r="C105" s="75" t="s">
        <v>291</v>
      </c>
      <c r="D105" s="24" t="s">
        <v>292</v>
      </c>
      <c r="E105" s="25">
        <v>301</v>
      </c>
      <c r="F105" s="26" t="s">
        <v>259</v>
      </c>
      <c r="G105" s="27">
        <f t="shared" si="104"/>
        <v>20000000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>
        <v>20000000</v>
      </c>
      <c r="X105" s="27"/>
      <c r="Y105" s="27"/>
      <c r="Z105" s="27"/>
      <c r="AA105" s="27"/>
      <c r="AC105" s="29">
        <f t="shared" si="105"/>
        <v>1</v>
      </c>
      <c r="AD105" s="27">
        <f t="shared" si="106"/>
        <v>20000000</v>
      </c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>
        <f>+'[5]ENERO 2016'!$Z$227</f>
        <v>20000000</v>
      </c>
      <c r="AU105" s="27"/>
      <c r="AV105" s="27"/>
      <c r="AW105" s="27"/>
      <c r="AX105" s="27"/>
      <c r="AY105" s="29">
        <f t="shared" si="107"/>
        <v>0</v>
      </c>
      <c r="AZ105" s="27">
        <f t="shared" si="108"/>
        <v>0</v>
      </c>
      <c r="BA105" s="27">
        <f t="shared" si="109"/>
        <v>0</v>
      </c>
      <c r="BB105" s="27">
        <f t="shared" si="110"/>
        <v>0</v>
      </c>
      <c r="BC105" s="27">
        <f t="shared" si="110"/>
        <v>0</v>
      </c>
      <c r="BD105" s="27">
        <f t="shared" si="110"/>
        <v>0</v>
      </c>
      <c r="BE105" s="27">
        <f t="shared" si="123"/>
        <v>0</v>
      </c>
      <c r="BF105" s="27">
        <f t="shared" si="123"/>
        <v>0</v>
      </c>
      <c r="BG105" s="27">
        <f t="shared" si="123"/>
        <v>0</v>
      </c>
      <c r="BH105" s="27">
        <f t="shared" si="123"/>
        <v>0</v>
      </c>
      <c r="BI105" s="27">
        <f t="shared" si="123"/>
        <v>0</v>
      </c>
      <c r="BJ105" s="27">
        <f t="shared" si="123"/>
        <v>0</v>
      </c>
      <c r="BK105" s="27">
        <f t="shared" si="123"/>
        <v>0</v>
      </c>
      <c r="BL105" s="27">
        <f t="shared" si="123"/>
        <v>0</v>
      </c>
      <c r="BM105" s="27">
        <f t="shared" si="123"/>
        <v>0</v>
      </c>
      <c r="BN105" s="27">
        <f t="shared" si="123"/>
        <v>0</v>
      </c>
      <c r="BO105" s="27">
        <f t="shared" si="123"/>
        <v>0</v>
      </c>
      <c r="BP105" s="27">
        <f t="shared" si="123"/>
        <v>0</v>
      </c>
      <c r="BQ105" s="27"/>
      <c r="BR105" s="27"/>
      <c r="BS105" s="27">
        <f t="shared" si="112"/>
        <v>0</v>
      </c>
      <c r="BT105" s="27">
        <f t="shared" si="124"/>
        <v>0</v>
      </c>
      <c r="BU105" s="29">
        <f t="shared" si="114"/>
        <v>0.57433619999999996</v>
      </c>
      <c r="BV105" s="27">
        <f t="shared" si="115"/>
        <v>11486724</v>
      </c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>
        <f>+'[4]ABRIL 2016'!$H$474</f>
        <v>11486724</v>
      </c>
      <c r="CM105" s="27"/>
      <c r="CN105" s="27"/>
      <c r="CO105" s="27"/>
      <c r="CP105" s="27"/>
      <c r="CQ105" s="29">
        <f t="shared" si="116"/>
        <v>0.42566380000000004</v>
      </c>
      <c r="CR105" s="27">
        <f t="shared" si="117"/>
        <v>8513276</v>
      </c>
      <c r="CS105" s="27">
        <f t="shared" si="118"/>
        <v>0</v>
      </c>
      <c r="CT105" s="27">
        <f t="shared" si="118"/>
        <v>0</v>
      </c>
      <c r="CU105" s="27">
        <f t="shared" si="118"/>
        <v>0</v>
      </c>
      <c r="CV105" s="27">
        <f t="shared" si="118"/>
        <v>0</v>
      </c>
      <c r="CW105" s="27">
        <f t="shared" si="118"/>
        <v>0</v>
      </c>
      <c r="CX105" s="27">
        <f t="shared" si="118"/>
        <v>0</v>
      </c>
      <c r="CY105" s="27">
        <f t="shared" si="118"/>
        <v>0</v>
      </c>
      <c r="CZ105" s="27">
        <f t="shared" si="125"/>
        <v>0</v>
      </c>
      <c r="DA105" s="27">
        <f t="shared" si="125"/>
        <v>0</v>
      </c>
      <c r="DB105" s="27">
        <f t="shared" si="118"/>
        <v>0</v>
      </c>
      <c r="DC105" s="27">
        <f t="shared" si="120"/>
        <v>0</v>
      </c>
      <c r="DD105" s="27">
        <f t="shared" si="120"/>
        <v>0</v>
      </c>
      <c r="DE105" s="27">
        <f t="shared" si="120"/>
        <v>0</v>
      </c>
      <c r="DF105" s="27">
        <f t="shared" si="126"/>
        <v>0</v>
      </c>
      <c r="DG105" s="27">
        <f t="shared" si="126"/>
        <v>0</v>
      </c>
      <c r="DH105" s="27">
        <f t="shared" si="126"/>
        <v>8513276</v>
      </c>
      <c r="DI105" s="27"/>
      <c r="DJ105" s="27">
        <f t="shared" si="127"/>
        <v>0</v>
      </c>
      <c r="DK105" s="27">
        <f t="shared" si="127"/>
        <v>0</v>
      </c>
      <c r="DL105" s="27">
        <f t="shared" si="127"/>
        <v>0</v>
      </c>
      <c r="DN105" s="193"/>
      <c r="DO105" s="193"/>
      <c r="DP105" s="193"/>
      <c r="DQ105" s="193"/>
      <c r="DR105" s="193"/>
    </row>
    <row r="106" spans="1:123" ht="23.25" hidden="1" customHeight="1" x14ac:dyDescent="0.25">
      <c r="A106" s="246"/>
      <c r="B106" s="231"/>
      <c r="C106" s="75" t="s">
        <v>293</v>
      </c>
      <c r="D106" s="24" t="s">
        <v>294</v>
      </c>
      <c r="E106" s="96">
        <v>301</v>
      </c>
      <c r="F106" s="26" t="s">
        <v>259</v>
      </c>
      <c r="G106" s="27">
        <f t="shared" si="104"/>
        <v>100000000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>
        <v>100000000</v>
      </c>
      <c r="X106" s="27"/>
      <c r="Y106" s="27"/>
      <c r="Z106" s="27"/>
      <c r="AA106" s="27"/>
      <c r="AC106" s="29">
        <f t="shared" si="105"/>
        <v>1</v>
      </c>
      <c r="AD106" s="27">
        <f t="shared" si="106"/>
        <v>100000000</v>
      </c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>
        <f>+'[4]ABRIL 2016'!$Z$480</f>
        <v>100000000</v>
      </c>
      <c r="AU106" s="27"/>
      <c r="AV106" s="27"/>
      <c r="AW106" s="27"/>
      <c r="AX106" s="27"/>
      <c r="AY106" s="29">
        <f t="shared" si="107"/>
        <v>0</v>
      </c>
      <c r="AZ106" s="27">
        <f t="shared" si="108"/>
        <v>0</v>
      </c>
      <c r="BA106" s="27">
        <f t="shared" si="109"/>
        <v>0</v>
      </c>
      <c r="BB106" s="27">
        <f t="shared" si="110"/>
        <v>0</v>
      </c>
      <c r="BC106" s="27">
        <f t="shared" si="110"/>
        <v>0</v>
      </c>
      <c r="BD106" s="27">
        <f t="shared" si="110"/>
        <v>0</v>
      </c>
      <c r="BE106" s="27">
        <f t="shared" si="123"/>
        <v>0</v>
      </c>
      <c r="BF106" s="27">
        <f t="shared" si="123"/>
        <v>0</v>
      </c>
      <c r="BG106" s="27">
        <f t="shared" si="123"/>
        <v>0</v>
      </c>
      <c r="BH106" s="27">
        <f t="shared" si="123"/>
        <v>0</v>
      </c>
      <c r="BI106" s="27">
        <f t="shared" si="123"/>
        <v>0</v>
      </c>
      <c r="BJ106" s="27">
        <f t="shared" si="123"/>
        <v>0</v>
      </c>
      <c r="BK106" s="27">
        <f t="shared" si="123"/>
        <v>0</v>
      </c>
      <c r="BL106" s="27">
        <f t="shared" si="123"/>
        <v>0</v>
      </c>
      <c r="BM106" s="27">
        <f t="shared" si="123"/>
        <v>0</v>
      </c>
      <c r="BN106" s="27">
        <f t="shared" si="123"/>
        <v>0</v>
      </c>
      <c r="BO106" s="27">
        <f t="shared" si="123"/>
        <v>0</v>
      </c>
      <c r="BP106" s="27">
        <f t="shared" si="123"/>
        <v>0</v>
      </c>
      <c r="BQ106" s="27"/>
      <c r="BR106" s="27"/>
      <c r="BS106" s="27">
        <f t="shared" si="112"/>
        <v>0</v>
      </c>
      <c r="BT106" s="27">
        <f t="shared" si="124"/>
        <v>0</v>
      </c>
      <c r="BU106" s="29">
        <f t="shared" si="114"/>
        <v>0.84458115</v>
      </c>
      <c r="BV106" s="27">
        <f t="shared" si="115"/>
        <v>84458115</v>
      </c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>
        <f>+'[1]JUNIO 2016'!$H$658</f>
        <v>84458115</v>
      </c>
      <c r="CM106" s="27"/>
      <c r="CN106" s="27"/>
      <c r="CO106" s="27"/>
      <c r="CP106" s="27"/>
      <c r="CQ106" s="29">
        <f t="shared" si="116"/>
        <v>0.15541885</v>
      </c>
      <c r="CR106" s="27">
        <f t="shared" si="117"/>
        <v>15541885</v>
      </c>
      <c r="CS106" s="27">
        <f t="shared" si="118"/>
        <v>0</v>
      </c>
      <c r="CT106" s="27">
        <f t="shared" si="118"/>
        <v>0</v>
      </c>
      <c r="CU106" s="27">
        <f t="shared" si="118"/>
        <v>0</v>
      </c>
      <c r="CV106" s="27">
        <f t="shared" si="118"/>
        <v>0</v>
      </c>
      <c r="CW106" s="27">
        <f t="shared" si="118"/>
        <v>0</v>
      </c>
      <c r="CX106" s="27">
        <f t="shared" si="118"/>
        <v>0</v>
      </c>
      <c r="CY106" s="27">
        <f t="shared" si="118"/>
        <v>0</v>
      </c>
      <c r="CZ106" s="27">
        <f t="shared" si="125"/>
        <v>0</v>
      </c>
      <c r="DA106" s="27">
        <f t="shared" si="125"/>
        <v>0</v>
      </c>
      <c r="DB106" s="27">
        <f t="shared" si="118"/>
        <v>0</v>
      </c>
      <c r="DC106" s="27">
        <f t="shared" si="120"/>
        <v>0</v>
      </c>
      <c r="DD106" s="27">
        <f t="shared" si="120"/>
        <v>0</v>
      </c>
      <c r="DE106" s="27">
        <f t="shared" si="120"/>
        <v>0</v>
      </c>
      <c r="DF106" s="27">
        <f t="shared" si="126"/>
        <v>0</v>
      </c>
      <c r="DG106" s="27">
        <f t="shared" si="126"/>
        <v>0</v>
      </c>
      <c r="DH106" s="27">
        <f t="shared" si="126"/>
        <v>15541885</v>
      </c>
      <c r="DI106" s="27"/>
      <c r="DJ106" s="27">
        <f t="shared" si="127"/>
        <v>0</v>
      </c>
      <c r="DK106" s="27">
        <f t="shared" si="127"/>
        <v>0</v>
      </c>
      <c r="DL106" s="27">
        <f t="shared" si="127"/>
        <v>0</v>
      </c>
      <c r="DN106" s="193"/>
      <c r="DO106" s="193"/>
      <c r="DP106" s="193"/>
      <c r="DQ106" s="193"/>
      <c r="DR106" s="193"/>
    </row>
    <row r="107" spans="1:123" ht="18" hidden="1" customHeight="1" x14ac:dyDescent="0.25">
      <c r="A107" s="246"/>
      <c r="B107" s="95" t="s">
        <v>295</v>
      </c>
      <c r="C107" s="75" t="s">
        <v>296</v>
      </c>
      <c r="D107" s="24" t="s">
        <v>297</v>
      </c>
      <c r="E107" s="96">
        <v>301</v>
      </c>
      <c r="F107" s="26" t="s">
        <v>259</v>
      </c>
      <c r="G107" s="27">
        <f t="shared" si="104"/>
        <v>50000000</v>
      </c>
      <c r="H107" s="27"/>
      <c r="I107" s="27"/>
      <c r="J107" s="27">
        <f>50000000-50000000</f>
        <v>0</v>
      </c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>
        <f>21264791+28735209</f>
        <v>50000000</v>
      </c>
      <c r="W107" s="27"/>
      <c r="X107" s="27"/>
      <c r="Y107" s="27"/>
      <c r="Z107" s="27"/>
      <c r="AA107" s="27"/>
      <c r="AC107" s="29">
        <f t="shared" si="105"/>
        <v>0.60117946</v>
      </c>
      <c r="AD107" s="27">
        <f t="shared" si="106"/>
        <v>30058973</v>
      </c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>
        <f>+'[3]MAYO 2016'!$Y$601</f>
        <v>30058973</v>
      </c>
      <c r="AT107" s="27"/>
      <c r="AU107" s="27"/>
      <c r="AV107" s="27"/>
      <c r="AW107" s="27"/>
      <c r="AX107" s="27"/>
      <c r="AY107" s="29">
        <f t="shared" si="107"/>
        <v>0.39882054</v>
      </c>
      <c r="AZ107" s="27">
        <f t="shared" si="108"/>
        <v>19941027</v>
      </c>
      <c r="BA107" s="27">
        <f t="shared" si="109"/>
        <v>0</v>
      </c>
      <c r="BB107" s="27">
        <f t="shared" si="110"/>
        <v>0</v>
      </c>
      <c r="BC107" s="27">
        <f t="shared" si="110"/>
        <v>0</v>
      </c>
      <c r="BD107" s="27">
        <f t="shared" si="110"/>
        <v>0</v>
      </c>
      <c r="BE107" s="27">
        <f t="shared" si="123"/>
        <v>0</v>
      </c>
      <c r="BF107" s="27">
        <f t="shared" si="123"/>
        <v>0</v>
      </c>
      <c r="BG107" s="27">
        <f t="shared" si="123"/>
        <v>0</v>
      </c>
      <c r="BH107" s="27">
        <f t="shared" si="123"/>
        <v>0</v>
      </c>
      <c r="BI107" s="27">
        <f t="shared" si="123"/>
        <v>0</v>
      </c>
      <c r="BJ107" s="27">
        <f t="shared" si="123"/>
        <v>0</v>
      </c>
      <c r="BK107" s="27">
        <f t="shared" si="123"/>
        <v>0</v>
      </c>
      <c r="BL107" s="27">
        <f t="shared" si="123"/>
        <v>0</v>
      </c>
      <c r="BM107" s="27">
        <f t="shared" si="123"/>
        <v>0</v>
      </c>
      <c r="BN107" s="27">
        <f t="shared" si="123"/>
        <v>0</v>
      </c>
      <c r="BO107" s="27">
        <f t="shared" si="123"/>
        <v>19941027</v>
      </c>
      <c r="BP107" s="27">
        <f t="shared" si="123"/>
        <v>0</v>
      </c>
      <c r="BQ107" s="27"/>
      <c r="BR107" s="27"/>
      <c r="BS107" s="27">
        <f t="shared" si="112"/>
        <v>0</v>
      </c>
      <c r="BT107" s="27">
        <f t="shared" si="124"/>
        <v>0</v>
      </c>
      <c r="BU107" s="29">
        <f t="shared" si="114"/>
        <v>0.60117946</v>
      </c>
      <c r="BV107" s="27">
        <f t="shared" si="115"/>
        <v>30058973</v>
      </c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>
        <f>+'[3]MAYO 2016'!$H$599</f>
        <v>30058973</v>
      </c>
      <c r="CL107" s="27"/>
      <c r="CM107" s="27"/>
      <c r="CN107" s="27"/>
      <c r="CO107" s="27"/>
      <c r="CP107" s="27"/>
      <c r="CQ107" s="29">
        <f t="shared" si="116"/>
        <v>0.39882054</v>
      </c>
      <c r="CR107" s="27">
        <f t="shared" si="117"/>
        <v>19941027</v>
      </c>
      <c r="CS107" s="27">
        <f t="shared" si="118"/>
        <v>0</v>
      </c>
      <c r="CT107" s="27">
        <f t="shared" si="118"/>
        <v>0</v>
      </c>
      <c r="CU107" s="27">
        <f t="shared" si="118"/>
        <v>0</v>
      </c>
      <c r="CV107" s="27">
        <f t="shared" si="118"/>
        <v>0</v>
      </c>
      <c r="CW107" s="27">
        <f t="shared" si="118"/>
        <v>0</v>
      </c>
      <c r="CX107" s="27">
        <f t="shared" si="118"/>
        <v>0</v>
      </c>
      <c r="CY107" s="27">
        <f t="shared" si="118"/>
        <v>0</v>
      </c>
      <c r="CZ107" s="27">
        <f t="shared" si="125"/>
        <v>0</v>
      </c>
      <c r="DA107" s="27">
        <f t="shared" si="125"/>
        <v>0</v>
      </c>
      <c r="DB107" s="27">
        <f t="shared" si="118"/>
        <v>0</v>
      </c>
      <c r="DC107" s="27">
        <f t="shared" si="120"/>
        <v>0</v>
      </c>
      <c r="DD107" s="27">
        <f t="shared" si="120"/>
        <v>0</v>
      </c>
      <c r="DE107" s="27">
        <f t="shared" si="120"/>
        <v>0</v>
      </c>
      <c r="DF107" s="27">
        <f t="shared" si="126"/>
        <v>0</v>
      </c>
      <c r="DG107" s="27">
        <f t="shared" si="126"/>
        <v>19941027</v>
      </c>
      <c r="DH107" s="27">
        <f t="shared" si="126"/>
        <v>0</v>
      </c>
      <c r="DI107" s="27"/>
      <c r="DJ107" s="27">
        <f t="shared" si="127"/>
        <v>0</v>
      </c>
      <c r="DK107" s="27">
        <f t="shared" si="127"/>
        <v>0</v>
      </c>
      <c r="DL107" s="27">
        <f t="shared" si="127"/>
        <v>0</v>
      </c>
      <c r="DN107" s="193"/>
      <c r="DO107" s="193"/>
      <c r="DP107" s="193"/>
      <c r="DQ107" s="193"/>
      <c r="DR107" s="193"/>
    </row>
    <row r="108" spans="1:123" s="50" customFormat="1" ht="21" customHeight="1" thickTop="1" thickBot="1" x14ac:dyDescent="0.3">
      <c r="A108" s="79"/>
      <c r="B108" s="278" t="s">
        <v>381</v>
      </c>
      <c r="C108" s="279"/>
      <c r="D108" s="279"/>
      <c r="E108" s="279"/>
      <c r="F108" s="280"/>
      <c r="G108" s="68">
        <f t="shared" ref="G108:AA108" si="128">SUM(G93:G107)</f>
        <v>2524365485</v>
      </c>
      <c r="H108" s="68">
        <f t="shared" si="128"/>
        <v>0</v>
      </c>
      <c r="I108" s="68">
        <f t="shared" si="128"/>
        <v>200000000</v>
      </c>
      <c r="J108" s="68">
        <f t="shared" si="128"/>
        <v>268168096</v>
      </c>
      <c r="K108" s="68">
        <f t="shared" si="128"/>
        <v>0</v>
      </c>
      <c r="L108" s="68">
        <f t="shared" si="128"/>
        <v>701280247</v>
      </c>
      <c r="M108" s="68">
        <f t="shared" si="128"/>
        <v>0</v>
      </c>
      <c r="N108" s="68">
        <f t="shared" si="128"/>
        <v>0</v>
      </c>
      <c r="O108" s="68">
        <f t="shared" si="128"/>
        <v>0</v>
      </c>
      <c r="P108" s="68">
        <f t="shared" si="128"/>
        <v>0</v>
      </c>
      <c r="Q108" s="68">
        <f t="shared" si="128"/>
        <v>0</v>
      </c>
      <c r="R108" s="68">
        <f t="shared" si="128"/>
        <v>0</v>
      </c>
      <c r="S108" s="68">
        <f t="shared" si="128"/>
        <v>0</v>
      </c>
      <c r="T108" s="68">
        <f t="shared" si="128"/>
        <v>0</v>
      </c>
      <c r="U108" s="68">
        <f t="shared" si="128"/>
        <v>0</v>
      </c>
      <c r="V108" s="68">
        <f t="shared" si="128"/>
        <v>50000000</v>
      </c>
      <c r="W108" s="68">
        <f t="shared" si="128"/>
        <v>1262551657</v>
      </c>
      <c r="X108" s="68">
        <f t="shared" si="128"/>
        <v>0</v>
      </c>
      <c r="Y108" s="68">
        <f t="shared" si="128"/>
        <v>0</v>
      </c>
      <c r="Z108" s="68">
        <f t="shared" si="128"/>
        <v>0</v>
      </c>
      <c r="AA108" s="68">
        <f t="shared" si="128"/>
        <v>42365485</v>
      </c>
      <c r="AC108" s="46">
        <f t="shared" si="105"/>
        <v>0.80858012483877706</v>
      </c>
      <c r="AD108" s="68">
        <f>SUM(AD93:AD107)</f>
        <v>2041151759</v>
      </c>
      <c r="AE108" s="68"/>
      <c r="AF108" s="68">
        <f t="shared" ref="AF108:AX108" si="129">SUM(AF93:AF107)</f>
        <v>200000000</v>
      </c>
      <c r="AG108" s="68">
        <f t="shared" si="129"/>
        <v>268168096</v>
      </c>
      <c r="AH108" s="68">
        <f t="shared" si="129"/>
        <v>0</v>
      </c>
      <c r="AI108" s="68">
        <f t="shared" si="129"/>
        <v>701280247</v>
      </c>
      <c r="AJ108" s="68">
        <f t="shared" si="129"/>
        <v>0</v>
      </c>
      <c r="AK108" s="68">
        <f t="shared" si="129"/>
        <v>0</v>
      </c>
      <c r="AL108" s="68">
        <f t="shared" si="129"/>
        <v>0</v>
      </c>
      <c r="AM108" s="68">
        <f t="shared" si="129"/>
        <v>0</v>
      </c>
      <c r="AN108" s="68">
        <f t="shared" si="129"/>
        <v>0</v>
      </c>
      <c r="AO108" s="68">
        <f t="shared" si="129"/>
        <v>0</v>
      </c>
      <c r="AP108" s="68">
        <f t="shared" si="129"/>
        <v>0</v>
      </c>
      <c r="AQ108" s="68">
        <f t="shared" si="129"/>
        <v>0</v>
      </c>
      <c r="AR108" s="68">
        <f t="shared" si="129"/>
        <v>0</v>
      </c>
      <c r="AS108" s="68">
        <f t="shared" si="129"/>
        <v>30058973</v>
      </c>
      <c r="AT108" s="68">
        <f t="shared" si="129"/>
        <v>822749581</v>
      </c>
      <c r="AU108" s="68">
        <f t="shared" si="129"/>
        <v>0</v>
      </c>
      <c r="AV108" s="68">
        <f t="shared" si="129"/>
        <v>0</v>
      </c>
      <c r="AW108" s="68">
        <f t="shared" si="129"/>
        <v>0</v>
      </c>
      <c r="AX108" s="68">
        <f t="shared" si="129"/>
        <v>18894862</v>
      </c>
      <c r="AY108" s="46">
        <f t="shared" si="107"/>
        <v>0.19141987516122294</v>
      </c>
      <c r="AZ108" s="68">
        <f>SUM(AZ93:AZ107)</f>
        <v>483213726</v>
      </c>
      <c r="BA108" s="68"/>
      <c r="BB108" s="68">
        <f t="shared" ref="BB108:BT108" si="130">SUM(BB93:BB107)</f>
        <v>0</v>
      </c>
      <c r="BC108" s="68">
        <f t="shared" si="130"/>
        <v>0</v>
      </c>
      <c r="BD108" s="68">
        <f t="shared" si="130"/>
        <v>0</v>
      </c>
      <c r="BE108" s="68">
        <f t="shared" si="130"/>
        <v>0</v>
      </c>
      <c r="BF108" s="68">
        <f t="shared" si="130"/>
        <v>0</v>
      </c>
      <c r="BG108" s="68">
        <f t="shared" si="130"/>
        <v>0</v>
      </c>
      <c r="BH108" s="68">
        <f t="shared" si="130"/>
        <v>0</v>
      </c>
      <c r="BI108" s="68">
        <f t="shared" si="130"/>
        <v>0</v>
      </c>
      <c r="BJ108" s="68">
        <f t="shared" si="130"/>
        <v>0</v>
      </c>
      <c r="BK108" s="68">
        <f t="shared" si="130"/>
        <v>0</v>
      </c>
      <c r="BL108" s="68">
        <f t="shared" si="130"/>
        <v>0</v>
      </c>
      <c r="BM108" s="68">
        <f t="shared" si="130"/>
        <v>0</v>
      </c>
      <c r="BN108" s="68">
        <f t="shared" si="130"/>
        <v>0</v>
      </c>
      <c r="BO108" s="68">
        <f t="shared" si="130"/>
        <v>19941027</v>
      </c>
      <c r="BP108" s="68">
        <f t="shared" si="130"/>
        <v>439802076</v>
      </c>
      <c r="BQ108" s="68">
        <f t="shared" si="130"/>
        <v>0</v>
      </c>
      <c r="BR108" s="68">
        <f t="shared" si="130"/>
        <v>0</v>
      </c>
      <c r="BS108" s="68">
        <f t="shared" si="130"/>
        <v>0</v>
      </c>
      <c r="BT108" s="68">
        <f t="shared" si="130"/>
        <v>23470623</v>
      </c>
      <c r="BU108" s="46">
        <f t="shared" si="114"/>
        <v>0.76553122655295691</v>
      </c>
      <c r="BV108" s="68">
        <f>SUM(BV93:BV107)</f>
        <v>1932480606</v>
      </c>
      <c r="BW108" s="68">
        <f>SUM(BW93:BW107)</f>
        <v>0</v>
      </c>
      <c r="BX108" s="68">
        <f>SUM(BX93:BX107)</f>
        <v>192408143</v>
      </c>
      <c r="BY108" s="68">
        <f>SUM(BY93:BY107)</f>
        <v>268168096</v>
      </c>
      <c r="BZ108" s="68"/>
      <c r="CA108" s="68">
        <f>SUM(CA93:CA107)</f>
        <v>701280247</v>
      </c>
      <c r="CB108" s="68">
        <f>SUM(CB93:CB107)</f>
        <v>0</v>
      </c>
      <c r="CC108" s="68"/>
      <c r="CD108" s="68">
        <f t="shared" ref="CD108:CL108" si="131">SUM(CD93:CD107)</f>
        <v>0</v>
      </c>
      <c r="CE108" s="68">
        <f t="shared" si="131"/>
        <v>0</v>
      </c>
      <c r="CF108" s="68">
        <f t="shared" si="131"/>
        <v>0</v>
      </c>
      <c r="CG108" s="68">
        <f t="shared" si="131"/>
        <v>0</v>
      </c>
      <c r="CH108" s="68">
        <f t="shared" si="131"/>
        <v>0</v>
      </c>
      <c r="CI108" s="68">
        <f t="shared" si="131"/>
        <v>0</v>
      </c>
      <c r="CJ108" s="68">
        <f t="shared" si="131"/>
        <v>0</v>
      </c>
      <c r="CK108" s="68">
        <f t="shared" si="131"/>
        <v>30058973</v>
      </c>
      <c r="CL108" s="68">
        <f t="shared" si="131"/>
        <v>723539805</v>
      </c>
      <c r="CM108" s="68"/>
      <c r="CN108" s="68">
        <f>SUM(CN93:CN107)</f>
        <v>0</v>
      </c>
      <c r="CO108" s="68">
        <f>SUM(CO93:CO107)</f>
        <v>0</v>
      </c>
      <c r="CP108" s="68">
        <f>SUM(CP93:CP107)</f>
        <v>17025342</v>
      </c>
      <c r="CQ108" s="46">
        <f t="shared" si="116"/>
        <v>0.23446877344704309</v>
      </c>
      <c r="CR108" s="68">
        <f t="shared" ref="CR108:DL108" si="132">SUM(CR93:CR107)</f>
        <v>591884879</v>
      </c>
      <c r="CS108" s="68">
        <f t="shared" si="132"/>
        <v>0</v>
      </c>
      <c r="CT108" s="68">
        <f t="shared" si="132"/>
        <v>7591857</v>
      </c>
      <c r="CU108" s="68">
        <f t="shared" si="132"/>
        <v>0</v>
      </c>
      <c r="CV108" s="68">
        <f t="shared" si="132"/>
        <v>0</v>
      </c>
      <c r="CW108" s="68">
        <f t="shared" si="132"/>
        <v>0</v>
      </c>
      <c r="CX108" s="68">
        <f t="shared" si="132"/>
        <v>0</v>
      </c>
      <c r="CY108" s="68">
        <f t="shared" si="132"/>
        <v>0</v>
      </c>
      <c r="CZ108" s="68">
        <f t="shared" si="132"/>
        <v>0</v>
      </c>
      <c r="DA108" s="68">
        <f t="shared" si="132"/>
        <v>0</v>
      </c>
      <c r="DB108" s="68">
        <f t="shared" si="132"/>
        <v>0</v>
      </c>
      <c r="DC108" s="68">
        <f t="shared" si="132"/>
        <v>0</v>
      </c>
      <c r="DD108" s="68">
        <f t="shared" si="132"/>
        <v>0</v>
      </c>
      <c r="DE108" s="68">
        <f t="shared" si="132"/>
        <v>0</v>
      </c>
      <c r="DF108" s="68">
        <f t="shared" si="132"/>
        <v>0</v>
      </c>
      <c r="DG108" s="68">
        <f t="shared" si="132"/>
        <v>19941027</v>
      </c>
      <c r="DH108" s="68">
        <f t="shared" si="132"/>
        <v>539011852</v>
      </c>
      <c r="DI108" s="68">
        <f t="shared" si="132"/>
        <v>0</v>
      </c>
      <c r="DJ108" s="68">
        <f t="shared" si="132"/>
        <v>0</v>
      </c>
      <c r="DK108" s="68">
        <f t="shared" si="132"/>
        <v>0</v>
      </c>
      <c r="DL108" s="97">
        <f t="shared" si="132"/>
        <v>25340143</v>
      </c>
      <c r="DN108" s="193" t="s">
        <v>389</v>
      </c>
      <c r="DO108" s="193"/>
      <c r="DP108" s="195">
        <v>2524365485</v>
      </c>
      <c r="DQ108" s="196">
        <v>1932480606</v>
      </c>
      <c r="DR108" s="197">
        <v>0.76549999999999996</v>
      </c>
      <c r="DS108" s="189"/>
    </row>
    <row r="109" spans="1:123" ht="51" hidden="1" customHeight="1" thickTop="1" x14ac:dyDescent="0.25">
      <c r="A109" s="239" t="s">
        <v>299</v>
      </c>
      <c r="B109" s="235" t="s">
        <v>300</v>
      </c>
      <c r="C109" s="75" t="s">
        <v>301</v>
      </c>
      <c r="D109" s="24" t="s">
        <v>302</v>
      </c>
      <c r="E109" s="98">
        <v>111</v>
      </c>
      <c r="F109" s="26" t="s">
        <v>303</v>
      </c>
      <c r="G109" s="27">
        <f>SUM(H109:AA109)</f>
        <v>2847721350</v>
      </c>
      <c r="H109" s="27"/>
      <c r="I109" s="27"/>
      <c r="J109" s="27">
        <f>2264025000</f>
        <v>2264025000</v>
      </c>
      <c r="K109" s="27">
        <f>72450095</f>
        <v>72450095</v>
      </c>
      <c r="L109" s="27"/>
      <c r="M109" s="27"/>
      <c r="N109" s="27">
        <f>54387</f>
        <v>54387</v>
      </c>
      <c r="O109" s="27">
        <f>30665828</f>
        <v>30665828</v>
      </c>
      <c r="P109" s="27">
        <f>1940856</f>
        <v>1940856</v>
      </c>
      <c r="Q109" s="27"/>
      <c r="R109" s="61">
        <f>60000000+100000000</f>
        <v>160000000</v>
      </c>
      <c r="S109" s="27"/>
      <c r="T109" s="27"/>
      <c r="U109" s="27"/>
      <c r="V109" s="27"/>
      <c r="W109" s="27"/>
      <c r="X109" s="27"/>
      <c r="Y109" s="27"/>
      <c r="Z109" s="27"/>
      <c r="AA109" s="27">
        <f>28000000+784585184-485000000-9000000</f>
        <v>318585184</v>
      </c>
      <c r="AB109" s="99"/>
      <c r="AC109" s="29">
        <f t="shared" si="105"/>
        <v>0.44417958133438862</v>
      </c>
      <c r="AD109" s="27">
        <f t="shared" ref="AD109:AD127" si="133">SUM(AE109:AX109)</f>
        <v>1264899677</v>
      </c>
      <c r="AE109" s="27"/>
      <c r="AF109" s="27"/>
      <c r="AG109" s="27">
        <f>+'[3]MAYO 2016'!$M$18</f>
        <v>1264899677</v>
      </c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9">
        <f t="shared" si="107"/>
        <v>0.55582041866561138</v>
      </c>
      <c r="AZ109" s="27">
        <f t="shared" ref="AZ109:AZ127" si="134">SUM(BA109:BT109)</f>
        <v>1582821673</v>
      </c>
      <c r="BA109" s="27">
        <f t="shared" ref="BA109:BA120" si="135">+H109</f>
        <v>0</v>
      </c>
      <c r="BB109" s="27">
        <f t="shared" ref="BB109:BP120" si="136">I109-AF109</f>
        <v>0</v>
      </c>
      <c r="BC109" s="27">
        <f t="shared" si="136"/>
        <v>999125323</v>
      </c>
      <c r="BD109" s="27">
        <f t="shared" si="136"/>
        <v>72450095</v>
      </c>
      <c r="BE109" s="27">
        <f t="shared" ref="BE109:BP119" si="137">+L109-AI109</f>
        <v>0</v>
      </c>
      <c r="BF109" s="27">
        <f t="shared" si="137"/>
        <v>0</v>
      </c>
      <c r="BG109" s="27">
        <f t="shared" si="137"/>
        <v>54387</v>
      </c>
      <c r="BH109" s="27">
        <f t="shared" si="137"/>
        <v>30665828</v>
      </c>
      <c r="BI109" s="27">
        <f t="shared" si="137"/>
        <v>1940856</v>
      </c>
      <c r="BJ109" s="27">
        <f t="shared" si="137"/>
        <v>0</v>
      </c>
      <c r="BK109" s="27">
        <f t="shared" si="137"/>
        <v>160000000</v>
      </c>
      <c r="BL109" s="27">
        <f t="shared" si="137"/>
        <v>0</v>
      </c>
      <c r="BM109" s="27">
        <f t="shared" si="137"/>
        <v>0</v>
      </c>
      <c r="BN109" s="27">
        <f t="shared" si="137"/>
        <v>0</v>
      </c>
      <c r="BO109" s="27">
        <f t="shared" si="137"/>
        <v>0</v>
      </c>
      <c r="BP109" s="27">
        <f t="shared" si="137"/>
        <v>0</v>
      </c>
      <c r="BQ109" s="27"/>
      <c r="BR109" s="27"/>
      <c r="BS109" s="27">
        <f t="shared" ref="BS109:BS120" si="138">Z109-AW109</f>
        <v>0</v>
      </c>
      <c r="BT109" s="27">
        <f t="shared" ref="BT109:BT119" si="139">+AA109-AX109</f>
        <v>318585184</v>
      </c>
      <c r="BU109" s="29">
        <f t="shared" si="114"/>
        <v>6.7201587332271814E-2</v>
      </c>
      <c r="BV109" s="27">
        <f t="shared" ref="BV109:BV127" si="140">SUM(BW109:CP109)</f>
        <v>191371395</v>
      </c>
      <c r="BW109" s="27"/>
      <c r="BX109" s="27"/>
      <c r="BY109" s="27">
        <f>+'[2]MARZO 2016 ULTIMO'!$H$16</f>
        <v>191371395</v>
      </c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9">
        <f t="shared" si="116"/>
        <v>0.93279841266772823</v>
      </c>
      <c r="CR109" s="27">
        <f t="shared" ref="CR109:CR127" si="141">SUM(CS109:DL109)</f>
        <v>2656349955</v>
      </c>
      <c r="CS109" s="27">
        <f t="shared" ref="CS109:CY120" si="142">H109-BW109</f>
        <v>0</v>
      </c>
      <c r="CT109" s="27">
        <f t="shared" si="142"/>
        <v>0</v>
      </c>
      <c r="CU109" s="27">
        <f t="shared" si="142"/>
        <v>2072653605</v>
      </c>
      <c r="CV109" s="27">
        <f t="shared" si="142"/>
        <v>72450095</v>
      </c>
      <c r="CW109" s="27">
        <f t="shared" si="142"/>
        <v>0</v>
      </c>
      <c r="CX109" s="27">
        <f t="shared" si="142"/>
        <v>0</v>
      </c>
      <c r="CY109" s="27">
        <f t="shared" si="142"/>
        <v>54387</v>
      </c>
      <c r="CZ109" s="27">
        <f t="shared" ref="CZ109:DB119" si="143">+O109-CD109</f>
        <v>30665828</v>
      </c>
      <c r="DA109" s="27">
        <f t="shared" si="143"/>
        <v>1940856</v>
      </c>
      <c r="DB109" s="27">
        <f t="shared" si="143"/>
        <v>0</v>
      </c>
      <c r="DC109" s="27">
        <f t="shared" ref="DC109:DE120" si="144">R109-CG109</f>
        <v>160000000</v>
      </c>
      <c r="DD109" s="27">
        <f t="shared" si="144"/>
        <v>0</v>
      </c>
      <c r="DE109" s="27">
        <f t="shared" si="144"/>
        <v>0</v>
      </c>
      <c r="DF109" s="27">
        <f t="shared" ref="DF109:DH119" si="145">+U109-CJ109</f>
        <v>0</v>
      </c>
      <c r="DG109" s="27">
        <f t="shared" si="145"/>
        <v>0</v>
      </c>
      <c r="DH109" s="27">
        <f t="shared" si="145"/>
        <v>0</v>
      </c>
      <c r="DI109" s="27"/>
      <c r="DJ109" s="27">
        <f t="shared" ref="DJ109:DL119" si="146">+Y109-CN109</f>
        <v>0</v>
      </c>
      <c r="DK109" s="27">
        <f t="shared" si="146"/>
        <v>0</v>
      </c>
      <c r="DL109" s="27">
        <f t="shared" si="146"/>
        <v>318585184</v>
      </c>
      <c r="DN109" s="193"/>
      <c r="DO109" s="193"/>
      <c r="DP109" s="193"/>
      <c r="DQ109" s="193"/>
      <c r="DR109" s="193"/>
    </row>
    <row r="110" spans="1:123" s="64" customFormat="1" ht="30" hidden="1" customHeight="1" x14ac:dyDescent="0.25">
      <c r="A110" s="236"/>
      <c r="B110" s="230"/>
      <c r="C110" s="62" t="s">
        <v>304</v>
      </c>
      <c r="D110" s="24" t="s">
        <v>305</v>
      </c>
      <c r="E110" s="96">
        <v>111</v>
      </c>
      <c r="F110" s="26" t="s">
        <v>306</v>
      </c>
      <c r="G110" s="27">
        <f t="shared" ref="G110:G127" si="147">SUM(H110:AA110)</f>
        <v>1088479836</v>
      </c>
      <c r="H110" s="61"/>
      <c r="I110" s="61"/>
      <c r="J110" s="61">
        <v>982978733</v>
      </c>
      <c r="K110" s="61">
        <v>39062301</v>
      </c>
      <c r="L110" s="61"/>
      <c r="M110" s="61"/>
      <c r="N110" s="61"/>
      <c r="O110" s="61"/>
      <c r="P110" s="61"/>
      <c r="Q110" s="61">
        <f>3438802</f>
        <v>3438802</v>
      </c>
      <c r="R110" s="61">
        <f>50000000</f>
        <v>50000000</v>
      </c>
      <c r="S110" s="61"/>
      <c r="T110" s="61"/>
      <c r="U110" s="61"/>
      <c r="V110" s="61"/>
      <c r="W110" s="61"/>
      <c r="X110" s="61"/>
      <c r="Y110" s="61"/>
      <c r="Z110" s="61"/>
      <c r="AA110" s="61">
        <f>12000000+1000000</f>
        <v>13000000</v>
      </c>
      <c r="AB110" s="100"/>
      <c r="AC110" s="65">
        <f t="shared" si="105"/>
        <v>0.71856580079081966</v>
      </c>
      <c r="AD110" s="27">
        <f t="shared" si="133"/>
        <v>782144385</v>
      </c>
      <c r="AE110" s="61"/>
      <c r="AF110" s="61"/>
      <c r="AG110" s="61">
        <f>+'[1]JUNIO 2016'!$M$31</f>
        <v>690623210</v>
      </c>
      <c r="AH110" s="61">
        <f>+'[1]JUNIO 2016'!$N$31</f>
        <v>32964600</v>
      </c>
      <c r="AI110" s="61"/>
      <c r="AJ110" s="61"/>
      <c r="AK110" s="61"/>
      <c r="AL110" s="61"/>
      <c r="AM110" s="61"/>
      <c r="AN110" s="61"/>
      <c r="AO110" s="27">
        <f>+'[3]MAYO 2016'!$U$31</f>
        <v>49856575</v>
      </c>
      <c r="AP110" s="61"/>
      <c r="AQ110" s="61"/>
      <c r="AR110" s="61"/>
      <c r="AS110" s="61"/>
      <c r="AT110" s="61"/>
      <c r="AU110" s="61"/>
      <c r="AV110" s="61"/>
      <c r="AW110" s="61"/>
      <c r="AX110" s="61">
        <f>+'[1]JUNIO 2016'!$AG$31</f>
        <v>8700000</v>
      </c>
      <c r="AY110" s="65">
        <f t="shared" si="107"/>
        <v>0.28143419920918034</v>
      </c>
      <c r="AZ110" s="27">
        <f t="shared" si="134"/>
        <v>306335451</v>
      </c>
      <c r="BA110" s="27">
        <f t="shared" si="135"/>
        <v>0</v>
      </c>
      <c r="BB110" s="61">
        <f t="shared" si="136"/>
        <v>0</v>
      </c>
      <c r="BC110" s="61">
        <f t="shared" si="136"/>
        <v>292355523</v>
      </c>
      <c r="BD110" s="61">
        <f t="shared" si="136"/>
        <v>6097701</v>
      </c>
      <c r="BE110" s="61">
        <f t="shared" si="137"/>
        <v>0</v>
      </c>
      <c r="BF110" s="61">
        <f t="shared" si="137"/>
        <v>0</v>
      </c>
      <c r="BG110" s="27">
        <f t="shared" si="137"/>
        <v>0</v>
      </c>
      <c r="BH110" s="61">
        <f t="shared" si="137"/>
        <v>0</v>
      </c>
      <c r="BI110" s="61">
        <f t="shared" si="137"/>
        <v>0</v>
      </c>
      <c r="BJ110" s="61">
        <f t="shared" si="137"/>
        <v>3438802</v>
      </c>
      <c r="BK110" s="61">
        <f t="shared" si="137"/>
        <v>143425</v>
      </c>
      <c r="BL110" s="61">
        <f t="shared" si="137"/>
        <v>0</v>
      </c>
      <c r="BM110" s="61">
        <f t="shared" si="137"/>
        <v>0</v>
      </c>
      <c r="BN110" s="61">
        <f t="shared" si="137"/>
        <v>0</v>
      </c>
      <c r="BO110" s="61">
        <f t="shared" si="137"/>
        <v>0</v>
      </c>
      <c r="BP110" s="61">
        <f t="shared" si="137"/>
        <v>0</v>
      </c>
      <c r="BQ110" s="61"/>
      <c r="BR110" s="61"/>
      <c r="BS110" s="27">
        <f t="shared" si="138"/>
        <v>0</v>
      </c>
      <c r="BT110" s="61">
        <f t="shared" si="139"/>
        <v>4300000</v>
      </c>
      <c r="BU110" s="65">
        <f t="shared" si="114"/>
        <v>0.52104670407509501</v>
      </c>
      <c r="BV110" s="27">
        <f t="shared" si="140"/>
        <v>567148831</v>
      </c>
      <c r="BW110" s="61"/>
      <c r="BX110" s="61"/>
      <c r="BY110" s="61">
        <f>+'[1]JUNIO 2016'!$H$33+'[1]JUNIO 2016'!$H$36+'[1]JUNIO 2016'!$H$38+'[1]JUNIO 2016'!$H$41+'[1]JUNIO 2016'!$H$43+'[1]JUNIO 2016'!$H$48+'[1]JUNIO 2016'!$H$50+'[1]JUNIO 2016'!$H$54</f>
        <v>483851956</v>
      </c>
      <c r="BZ110" s="61">
        <f>+'[1]JUNIO 2016'!$H$56</f>
        <v>30710300</v>
      </c>
      <c r="CA110" s="61"/>
      <c r="CB110" s="61"/>
      <c r="CC110" s="61"/>
      <c r="CD110" s="61"/>
      <c r="CE110" s="61"/>
      <c r="CF110" s="61"/>
      <c r="CG110" s="61">
        <f>+'[4]ABRIL 2016'!$H$34</f>
        <v>49856575</v>
      </c>
      <c r="CH110" s="61"/>
      <c r="CI110" s="61"/>
      <c r="CJ110" s="61"/>
      <c r="CK110" s="61"/>
      <c r="CL110" s="61"/>
      <c r="CM110" s="61"/>
      <c r="CN110" s="61"/>
      <c r="CO110" s="61"/>
      <c r="CP110" s="61">
        <f>+'[1]JUNIO 2016'!$H$53+'[1]JUNIO 2016'!$H$58</f>
        <v>2730000</v>
      </c>
      <c r="CQ110" s="65">
        <f t="shared" si="116"/>
        <v>0.47895329592490499</v>
      </c>
      <c r="CR110" s="27">
        <f t="shared" si="141"/>
        <v>521331005</v>
      </c>
      <c r="CS110" s="27">
        <f t="shared" si="142"/>
        <v>0</v>
      </c>
      <c r="CT110" s="27">
        <f t="shared" si="142"/>
        <v>0</v>
      </c>
      <c r="CU110" s="61">
        <f t="shared" si="142"/>
        <v>499126777</v>
      </c>
      <c r="CV110" s="61">
        <f t="shared" si="142"/>
        <v>8352001</v>
      </c>
      <c r="CW110" s="61">
        <f t="shared" si="142"/>
        <v>0</v>
      </c>
      <c r="CX110" s="61">
        <f t="shared" si="142"/>
        <v>0</v>
      </c>
      <c r="CY110" s="27">
        <f t="shared" si="142"/>
        <v>0</v>
      </c>
      <c r="CZ110" s="61">
        <f t="shared" si="143"/>
        <v>0</v>
      </c>
      <c r="DA110" s="61">
        <f t="shared" si="143"/>
        <v>0</v>
      </c>
      <c r="DB110" s="27">
        <f t="shared" si="143"/>
        <v>3438802</v>
      </c>
      <c r="DC110" s="61">
        <f t="shared" si="144"/>
        <v>143425</v>
      </c>
      <c r="DD110" s="61">
        <f t="shared" si="144"/>
        <v>0</v>
      </c>
      <c r="DE110" s="61">
        <f t="shared" si="144"/>
        <v>0</v>
      </c>
      <c r="DF110" s="61">
        <f t="shared" si="145"/>
        <v>0</v>
      </c>
      <c r="DG110" s="61">
        <f t="shared" si="145"/>
        <v>0</v>
      </c>
      <c r="DH110" s="61">
        <f t="shared" si="145"/>
        <v>0</v>
      </c>
      <c r="DI110" s="61"/>
      <c r="DJ110" s="61">
        <f t="shared" si="146"/>
        <v>0</v>
      </c>
      <c r="DK110" s="27">
        <f t="shared" si="146"/>
        <v>0</v>
      </c>
      <c r="DL110" s="61">
        <f t="shared" si="146"/>
        <v>10270000</v>
      </c>
      <c r="DN110" s="193"/>
      <c r="DO110" s="193"/>
      <c r="DP110" s="193"/>
      <c r="DQ110" s="193"/>
      <c r="DR110" s="193"/>
      <c r="DS110" s="189"/>
    </row>
    <row r="111" spans="1:123" ht="23.25" hidden="1" customHeight="1" x14ac:dyDescent="0.25">
      <c r="A111" s="236"/>
      <c r="B111" s="231"/>
      <c r="C111" s="75" t="s">
        <v>307</v>
      </c>
      <c r="D111" s="24" t="s">
        <v>308</v>
      </c>
      <c r="E111" s="98">
        <v>111</v>
      </c>
      <c r="F111" s="26" t="s">
        <v>309</v>
      </c>
      <c r="G111" s="27">
        <f t="shared" si="147"/>
        <v>100000000</v>
      </c>
      <c r="H111" s="27"/>
      <c r="I111" s="27"/>
      <c r="J111" s="27"/>
      <c r="K111" s="27">
        <v>59490931</v>
      </c>
      <c r="L111" s="27"/>
      <c r="M111" s="27"/>
      <c r="N111" s="27"/>
      <c r="O111" s="27"/>
      <c r="P111" s="27"/>
      <c r="Q111" s="27"/>
      <c r="R111" s="61">
        <f>140509069-100000000</f>
        <v>40509069</v>
      </c>
      <c r="S111" s="27"/>
      <c r="T111" s="27"/>
      <c r="U111" s="27"/>
      <c r="V111" s="27"/>
      <c r="W111" s="27"/>
      <c r="X111" s="27"/>
      <c r="Y111" s="27"/>
      <c r="Z111" s="27"/>
      <c r="AA111" s="27"/>
      <c r="AB111" s="99"/>
      <c r="AC111" s="29">
        <f t="shared" si="105"/>
        <v>0.49256</v>
      </c>
      <c r="AD111" s="27">
        <f t="shared" si="133"/>
        <v>49256000</v>
      </c>
      <c r="AE111" s="27"/>
      <c r="AF111" s="27"/>
      <c r="AG111" s="27"/>
      <c r="AH111" s="27">
        <f>+'[3]MAYO 2016'!$N$58</f>
        <v>19256000</v>
      </c>
      <c r="AI111" s="27"/>
      <c r="AJ111" s="27"/>
      <c r="AK111" s="27"/>
      <c r="AL111" s="27"/>
      <c r="AM111" s="27"/>
      <c r="AN111" s="27"/>
      <c r="AO111" s="27">
        <f>+'[4]ABRIL 2016'!$U$50</f>
        <v>30000000</v>
      </c>
      <c r="AP111" s="27"/>
      <c r="AQ111" s="27"/>
      <c r="AR111" s="27"/>
      <c r="AS111" s="27"/>
      <c r="AT111" s="27"/>
      <c r="AU111" s="27"/>
      <c r="AV111" s="27"/>
      <c r="AW111" s="27"/>
      <c r="AX111" s="27"/>
      <c r="AY111" s="29">
        <f t="shared" si="107"/>
        <v>0.50744</v>
      </c>
      <c r="AZ111" s="27">
        <f t="shared" si="134"/>
        <v>50744000</v>
      </c>
      <c r="BA111" s="27">
        <f t="shared" si="135"/>
        <v>0</v>
      </c>
      <c r="BB111" s="27">
        <f t="shared" si="136"/>
        <v>0</v>
      </c>
      <c r="BC111" s="27">
        <f t="shared" si="136"/>
        <v>0</v>
      </c>
      <c r="BD111" s="27">
        <f t="shared" si="136"/>
        <v>40234931</v>
      </c>
      <c r="BE111" s="27">
        <f t="shared" si="137"/>
        <v>0</v>
      </c>
      <c r="BF111" s="27">
        <f t="shared" si="137"/>
        <v>0</v>
      </c>
      <c r="BG111" s="27">
        <f t="shared" si="137"/>
        <v>0</v>
      </c>
      <c r="BH111" s="27">
        <f t="shared" si="137"/>
        <v>0</v>
      </c>
      <c r="BI111" s="27">
        <f t="shared" si="137"/>
        <v>0</v>
      </c>
      <c r="BJ111" s="27">
        <f t="shared" si="137"/>
        <v>0</v>
      </c>
      <c r="BK111" s="27">
        <f t="shared" si="137"/>
        <v>10509069</v>
      </c>
      <c r="BL111" s="27">
        <f t="shared" si="137"/>
        <v>0</v>
      </c>
      <c r="BM111" s="27">
        <f t="shared" si="137"/>
        <v>0</v>
      </c>
      <c r="BN111" s="27">
        <f t="shared" si="137"/>
        <v>0</v>
      </c>
      <c r="BO111" s="27">
        <f t="shared" si="137"/>
        <v>0</v>
      </c>
      <c r="BP111" s="27">
        <f t="shared" si="137"/>
        <v>0</v>
      </c>
      <c r="BQ111" s="27"/>
      <c r="BR111" s="27"/>
      <c r="BS111" s="27">
        <f t="shared" si="138"/>
        <v>0</v>
      </c>
      <c r="BT111" s="27">
        <f t="shared" si="139"/>
        <v>0</v>
      </c>
      <c r="BU111" s="29">
        <f t="shared" si="114"/>
        <v>0.44638040000000001</v>
      </c>
      <c r="BV111" s="27">
        <f t="shared" si="140"/>
        <v>44638040</v>
      </c>
      <c r="BW111" s="27"/>
      <c r="BX111" s="27"/>
      <c r="BY111" s="27"/>
      <c r="BZ111" s="27">
        <f>+'[1]JUNIO 2016'!$H$67+'[1]JUNIO 2016'!$H$70</f>
        <v>14638040</v>
      </c>
      <c r="CA111" s="27"/>
      <c r="CB111" s="27"/>
      <c r="CC111" s="27"/>
      <c r="CD111" s="27"/>
      <c r="CE111" s="27"/>
      <c r="CF111" s="27"/>
      <c r="CG111" s="27">
        <f>+'[3]MAYO 2016'!$H$62</f>
        <v>30000000</v>
      </c>
      <c r="CH111" s="27"/>
      <c r="CI111" s="27"/>
      <c r="CJ111" s="27"/>
      <c r="CK111" s="27"/>
      <c r="CL111" s="27"/>
      <c r="CM111" s="27"/>
      <c r="CN111" s="27"/>
      <c r="CO111" s="27"/>
      <c r="CP111" s="27"/>
      <c r="CQ111" s="29">
        <f t="shared" si="116"/>
        <v>0.55361959999999999</v>
      </c>
      <c r="CR111" s="27">
        <f t="shared" si="141"/>
        <v>55361960</v>
      </c>
      <c r="CS111" s="27">
        <f t="shared" si="142"/>
        <v>0</v>
      </c>
      <c r="CT111" s="27">
        <f t="shared" si="142"/>
        <v>0</v>
      </c>
      <c r="CU111" s="27">
        <f t="shared" si="142"/>
        <v>0</v>
      </c>
      <c r="CV111" s="27">
        <f t="shared" si="142"/>
        <v>44852891</v>
      </c>
      <c r="CW111" s="27">
        <f t="shared" si="142"/>
        <v>0</v>
      </c>
      <c r="CX111" s="27">
        <f t="shared" si="142"/>
        <v>0</v>
      </c>
      <c r="CY111" s="27">
        <f t="shared" si="142"/>
        <v>0</v>
      </c>
      <c r="CZ111" s="27">
        <f t="shared" si="143"/>
        <v>0</v>
      </c>
      <c r="DA111" s="27">
        <f t="shared" si="143"/>
        <v>0</v>
      </c>
      <c r="DB111" s="27">
        <f t="shared" si="143"/>
        <v>0</v>
      </c>
      <c r="DC111" s="27">
        <f t="shared" si="144"/>
        <v>10509069</v>
      </c>
      <c r="DD111" s="27">
        <f t="shared" si="144"/>
        <v>0</v>
      </c>
      <c r="DE111" s="27">
        <f t="shared" si="144"/>
        <v>0</v>
      </c>
      <c r="DF111" s="27">
        <f t="shared" si="145"/>
        <v>0</v>
      </c>
      <c r="DG111" s="27">
        <f t="shared" si="145"/>
        <v>0</v>
      </c>
      <c r="DH111" s="27">
        <f t="shared" si="145"/>
        <v>0</v>
      </c>
      <c r="DI111" s="27"/>
      <c r="DJ111" s="27">
        <f t="shared" si="146"/>
        <v>0</v>
      </c>
      <c r="DK111" s="27">
        <f t="shared" si="146"/>
        <v>0</v>
      </c>
      <c r="DL111" s="27">
        <f t="shared" si="146"/>
        <v>0</v>
      </c>
      <c r="DM111" s="50"/>
      <c r="DN111" s="193"/>
      <c r="DO111" s="193"/>
      <c r="DP111" s="193"/>
      <c r="DQ111" s="193"/>
      <c r="DR111" s="193"/>
    </row>
    <row r="112" spans="1:123" ht="33.75" hidden="1" customHeight="1" x14ac:dyDescent="0.25">
      <c r="A112" s="236"/>
      <c r="B112" s="229" t="s">
        <v>310</v>
      </c>
      <c r="C112" s="75" t="s">
        <v>311</v>
      </c>
      <c r="D112" s="24" t="s">
        <v>312</v>
      </c>
      <c r="E112" s="98">
        <v>211</v>
      </c>
      <c r="F112" s="26" t="s">
        <v>306</v>
      </c>
      <c r="G112" s="27">
        <f t="shared" si="147"/>
        <v>2379879497</v>
      </c>
      <c r="H112" s="27"/>
      <c r="I112" s="27"/>
      <c r="J112" s="27">
        <v>2300000000</v>
      </c>
      <c r="K112" s="27"/>
      <c r="L112" s="27"/>
      <c r="M112" s="27"/>
      <c r="N112" s="27"/>
      <c r="O112" s="27"/>
      <c r="P112" s="27"/>
      <c r="Q112" s="27"/>
      <c r="R112" s="27">
        <f>70000000</f>
        <v>70000000</v>
      </c>
      <c r="S112" s="27"/>
      <c r="T112" s="27"/>
      <c r="U112" s="27"/>
      <c r="V112" s="27"/>
      <c r="W112" s="27"/>
      <c r="X112" s="27"/>
      <c r="Y112" s="27"/>
      <c r="Z112" s="27"/>
      <c r="AA112" s="27">
        <f>9879497</f>
        <v>9879497</v>
      </c>
      <c r="AC112" s="29">
        <f t="shared" si="105"/>
        <v>0.40521067441256248</v>
      </c>
      <c r="AD112" s="27">
        <f t="shared" si="133"/>
        <v>964352576</v>
      </c>
      <c r="AE112" s="27"/>
      <c r="AF112" s="27"/>
      <c r="AG112" s="27">
        <f>+'[3]MAYO 2016'!$M$75</f>
        <v>884486456</v>
      </c>
      <c r="AH112" s="27"/>
      <c r="AI112" s="27"/>
      <c r="AJ112" s="27"/>
      <c r="AK112" s="27"/>
      <c r="AL112" s="27"/>
      <c r="AM112" s="27"/>
      <c r="AN112" s="27"/>
      <c r="AO112" s="27">
        <f>+'[3]MAYO 2016'!$U$75</f>
        <v>70000000</v>
      </c>
      <c r="AP112" s="27"/>
      <c r="AQ112" s="27"/>
      <c r="AR112" s="27"/>
      <c r="AS112" s="27"/>
      <c r="AT112" s="27"/>
      <c r="AU112" s="27"/>
      <c r="AV112" s="27"/>
      <c r="AW112" s="27"/>
      <c r="AX112" s="27">
        <f>+'[3]MAYO 2016'!$AG$75</f>
        <v>9866120</v>
      </c>
      <c r="AY112" s="29">
        <f t="shared" si="107"/>
        <v>0.59478932558743747</v>
      </c>
      <c r="AZ112" s="27">
        <f t="shared" si="134"/>
        <v>1415526921</v>
      </c>
      <c r="BA112" s="27">
        <f t="shared" si="135"/>
        <v>0</v>
      </c>
      <c r="BB112" s="27">
        <f t="shared" si="136"/>
        <v>0</v>
      </c>
      <c r="BC112" s="27">
        <f t="shared" si="136"/>
        <v>1415513544</v>
      </c>
      <c r="BD112" s="27">
        <f t="shared" si="136"/>
        <v>0</v>
      </c>
      <c r="BE112" s="27">
        <f t="shared" si="137"/>
        <v>0</v>
      </c>
      <c r="BF112" s="27">
        <f t="shared" si="137"/>
        <v>0</v>
      </c>
      <c r="BG112" s="27">
        <f t="shared" si="137"/>
        <v>0</v>
      </c>
      <c r="BH112" s="27">
        <f t="shared" si="137"/>
        <v>0</v>
      </c>
      <c r="BI112" s="27">
        <f t="shared" si="137"/>
        <v>0</v>
      </c>
      <c r="BJ112" s="27">
        <f t="shared" si="137"/>
        <v>0</v>
      </c>
      <c r="BK112" s="27">
        <f t="shared" si="137"/>
        <v>0</v>
      </c>
      <c r="BL112" s="27">
        <f t="shared" si="137"/>
        <v>0</v>
      </c>
      <c r="BM112" s="27">
        <f t="shared" si="137"/>
        <v>0</v>
      </c>
      <c r="BN112" s="27">
        <f t="shared" si="137"/>
        <v>0</v>
      </c>
      <c r="BO112" s="27">
        <f t="shared" si="137"/>
        <v>0</v>
      </c>
      <c r="BP112" s="27">
        <f t="shared" si="137"/>
        <v>0</v>
      </c>
      <c r="BQ112" s="27"/>
      <c r="BR112" s="27"/>
      <c r="BS112" s="27">
        <f t="shared" si="138"/>
        <v>0</v>
      </c>
      <c r="BT112" s="27">
        <f t="shared" si="139"/>
        <v>13377</v>
      </c>
      <c r="BU112" s="29">
        <f t="shared" si="114"/>
        <v>0.27830331738851061</v>
      </c>
      <c r="BV112" s="27">
        <f t="shared" si="140"/>
        <v>662328359</v>
      </c>
      <c r="BW112" s="27"/>
      <c r="BX112" s="27"/>
      <c r="BY112" s="27">
        <f>+'[1]JUNIO 2016'!$H$84+'[1]JUNIO 2016'!$H$86+'[1]JUNIO 2016'!$H$90+'[1]JUNIO 2016'!$H$92+'[1]JUNIO 2016'!$H$95+'[1]JUNIO 2016'!$H$96+'[1]JUNIO 2016'!$H$98+'[1]JUNIO 2016'!$H$104+'[1]JUNIO 2016'!$H$108+'[1]JUNIO 2016'!$H$111</f>
        <v>652462239</v>
      </c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>
        <f>+'[3]MAYO 2016'!$H$91</f>
        <v>9866120</v>
      </c>
      <c r="CQ112" s="29">
        <f t="shared" si="116"/>
        <v>0.72169668261148945</v>
      </c>
      <c r="CR112" s="27">
        <f t="shared" si="141"/>
        <v>1717551138</v>
      </c>
      <c r="CS112" s="27">
        <f t="shared" si="142"/>
        <v>0</v>
      </c>
      <c r="CT112" s="27">
        <f t="shared" si="142"/>
        <v>0</v>
      </c>
      <c r="CU112" s="27">
        <f t="shared" si="142"/>
        <v>1647537761</v>
      </c>
      <c r="CV112" s="27">
        <f t="shared" si="142"/>
        <v>0</v>
      </c>
      <c r="CW112" s="27">
        <f t="shared" si="142"/>
        <v>0</v>
      </c>
      <c r="CX112" s="27">
        <f t="shared" si="142"/>
        <v>0</v>
      </c>
      <c r="CY112" s="27">
        <f t="shared" si="142"/>
        <v>0</v>
      </c>
      <c r="CZ112" s="27">
        <f t="shared" si="143"/>
        <v>0</v>
      </c>
      <c r="DA112" s="27">
        <f t="shared" si="143"/>
        <v>0</v>
      </c>
      <c r="DB112" s="27">
        <f t="shared" si="143"/>
        <v>0</v>
      </c>
      <c r="DC112" s="27">
        <f t="shared" si="144"/>
        <v>70000000</v>
      </c>
      <c r="DD112" s="27">
        <f t="shared" si="144"/>
        <v>0</v>
      </c>
      <c r="DE112" s="27">
        <f t="shared" si="144"/>
        <v>0</v>
      </c>
      <c r="DF112" s="27">
        <f t="shared" si="145"/>
        <v>0</v>
      </c>
      <c r="DG112" s="27">
        <f t="shared" si="145"/>
        <v>0</v>
      </c>
      <c r="DH112" s="27">
        <f t="shared" si="145"/>
        <v>0</v>
      </c>
      <c r="DI112" s="27"/>
      <c r="DJ112" s="27">
        <f t="shared" si="146"/>
        <v>0</v>
      </c>
      <c r="DK112" s="27">
        <f t="shared" si="146"/>
        <v>0</v>
      </c>
      <c r="DL112" s="27">
        <f t="shared" si="146"/>
        <v>13377</v>
      </c>
      <c r="DN112" s="193"/>
      <c r="DO112" s="193"/>
      <c r="DP112" s="193"/>
      <c r="DQ112" s="193"/>
      <c r="DR112" s="193"/>
    </row>
    <row r="113" spans="1:123" ht="21.75" hidden="1" customHeight="1" x14ac:dyDescent="0.25">
      <c r="A113" s="236"/>
      <c r="B113" s="230"/>
      <c r="C113" s="75" t="s">
        <v>313</v>
      </c>
      <c r="D113" s="24" t="s">
        <v>314</v>
      </c>
      <c r="E113" s="98">
        <v>211</v>
      </c>
      <c r="F113" s="26" t="s">
        <v>309</v>
      </c>
      <c r="G113" s="27">
        <f t="shared" si="147"/>
        <v>310432388</v>
      </c>
      <c r="H113" s="27"/>
      <c r="I113" s="27"/>
      <c r="J113" s="27">
        <v>170000000</v>
      </c>
      <c r="K113" s="27"/>
      <c r="L113" s="27"/>
      <c r="M113" s="27"/>
      <c r="N113" s="27"/>
      <c r="O113" s="27"/>
      <c r="P113" s="27"/>
      <c r="Q113" s="27"/>
      <c r="R113" s="27">
        <v>10432388</v>
      </c>
      <c r="S113" s="27"/>
      <c r="T113" s="27">
        <v>130000000</v>
      </c>
      <c r="U113" s="27"/>
      <c r="V113" s="27"/>
      <c r="W113" s="27"/>
      <c r="X113" s="27"/>
      <c r="Y113" s="27"/>
      <c r="Z113" s="27"/>
      <c r="AA113" s="27"/>
      <c r="AC113" s="29">
        <f t="shared" si="105"/>
        <v>0.37419701194322547</v>
      </c>
      <c r="AD113" s="27">
        <f t="shared" si="133"/>
        <v>116162872</v>
      </c>
      <c r="AE113" s="27"/>
      <c r="AF113" s="27"/>
      <c r="AG113" s="27">
        <f>+'[1]JUNIO 2016'!$M$115</f>
        <v>116162872</v>
      </c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9">
        <f t="shared" si="107"/>
        <v>0.62580298805677459</v>
      </c>
      <c r="AZ113" s="27">
        <f t="shared" si="134"/>
        <v>194269516</v>
      </c>
      <c r="BA113" s="27">
        <f t="shared" si="135"/>
        <v>0</v>
      </c>
      <c r="BB113" s="27">
        <f t="shared" si="136"/>
        <v>0</v>
      </c>
      <c r="BC113" s="27">
        <f t="shared" si="136"/>
        <v>53837128</v>
      </c>
      <c r="BD113" s="27">
        <f t="shared" si="136"/>
        <v>0</v>
      </c>
      <c r="BE113" s="27">
        <f t="shared" si="137"/>
        <v>0</v>
      </c>
      <c r="BF113" s="27">
        <f t="shared" si="137"/>
        <v>0</v>
      </c>
      <c r="BG113" s="27">
        <f t="shared" si="137"/>
        <v>0</v>
      </c>
      <c r="BH113" s="27">
        <f t="shared" si="137"/>
        <v>0</v>
      </c>
      <c r="BI113" s="27">
        <f t="shared" si="137"/>
        <v>0</v>
      </c>
      <c r="BJ113" s="27">
        <f t="shared" si="137"/>
        <v>0</v>
      </c>
      <c r="BK113" s="27">
        <f t="shared" si="137"/>
        <v>10432388</v>
      </c>
      <c r="BL113" s="27">
        <f t="shared" si="137"/>
        <v>0</v>
      </c>
      <c r="BM113" s="27">
        <f t="shared" si="137"/>
        <v>130000000</v>
      </c>
      <c r="BN113" s="27">
        <f t="shared" si="137"/>
        <v>0</v>
      </c>
      <c r="BO113" s="27">
        <f t="shared" si="137"/>
        <v>0</v>
      </c>
      <c r="BP113" s="27">
        <f t="shared" si="137"/>
        <v>0</v>
      </c>
      <c r="BQ113" s="27"/>
      <c r="BR113" s="27"/>
      <c r="BS113" s="27">
        <f t="shared" si="138"/>
        <v>0</v>
      </c>
      <c r="BT113" s="27">
        <f t="shared" si="139"/>
        <v>0</v>
      </c>
      <c r="BU113" s="29">
        <f t="shared" si="114"/>
        <v>0.21346275247542792</v>
      </c>
      <c r="BV113" s="27">
        <f t="shared" si="140"/>
        <v>66265752</v>
      </c>
      <c r="BW113" s="27"/>
      <c r="BX113" s="27"/>
      <c r="BY113" s="27">
        <f>+'[3]MAYO 2016'!$H$107+'[3]MAYO 2016'!$H$116+'[3]MAYO 2016'!$H$118</f>
        <v>66265752</v>
      </c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9">
        <f t="shared" si="116"/>
        <v>0.7865372475245721</v>
      </c>
      <c r="CR113" s="27">
        <f t="shared" si="141"/>
        <v>244166636</v>
      </c>
      <c r="CS113" s="27">
        <f t="shared" si="142"/>
        <v>0</v>
      </c>
      <c r="CT113" s="27">
        <f t="shared" si="142"/>
        <v>0</v>
      </c>
      <c r="CU113" s="27">
        <f t="shared" si="142"/>
        <v>103734248</v>
      </c>
      <c r="CV113" s="27">
        <f t="shared" si="142"/>
        <v>0</v>
      </c>
      <c r="CW113" s="27">
        <f t="shared" si="142"/>
        <v>0</v>
      </c>
      <c r="CX113" s="27">
        <f t="shared" si="142"/>
        <v>0</v>
      </c>
      <c r="CY113" s="27">
        <f t="shared" si="142"/>
        <v>0</v>
      </c>
      <c r="CZ113" s="27">
        <f t="shared" si="143"/>
        <v>0</v>
      </c>
      <c r="DA113" s="27">
        <f t="shared" si="143"/>
        <v>0</v>
      </c>
      <c r="DB113" s="27">
        <f t="shared" si="143"/>
        <v>0</v>
      </c>
      <c r="DC113" s="27">
        <f t="shared" si="144"/>
        <v>10432388</v>
      </c>
      <c r="DD113" s="27">
        <f t="shared" si="144"/>
        <v>0</v>
      </c>
      <c r="DE113" s="27">
        <f t="shared" si="144"/>
        <v>130000000</v>
      </c>
      <c r="DF113" s="27">
        <f t="shared" si="145"/>
        <v>0</v>
      </c>
      <c r="DG113" s="27">
        <f t="shared" si="145"/>
        <v>0</v>
      </c>
      <c r="DH113" s="27">
        <f t="shared" si="145"/>
        <v>0</v>
      </c>
      <c r="DI113" s="27"/>
      <c r="DJ113" s="27">
        <f t="shared" si="146"/>
        <v>0</v>
      </c>
      <c r="DK113" s="27">
        <f t="shared" si="146"/>
        <v>0</v>
      </c>
      <c r="DL113" s="27">
        <f t="shared" si="146"/>
        <v>0</v>
      </c>
      <c r="DN113" s="193"/>
      <c r="DO113" s="193"/>
      <c r="DP113" s="193"/>
      <c r="DQ113" s="193"/>
      <c r="DR113" s="193"/>
    </row>
    <row r="114" spans="1:123" s="64" customFormat="1" ht="30.75" hidden="1" customHeight="1" x14ac:dyDescent="0.25">
      <c r="A114" s="236"/>
      <c r="B114" s="230"/>
      <c r="C114" s="62" t="s">
        <v>315</v>
      </c>
      <c r="D114" s="24" t="s">
        <v>316</v>
      </c>
      <c r="E114" s="96">
        <v>211</v>
      </c>
      <c r="F114" s="26" t="s">
        <v>317</v>
      </c>
      <c r="G114" s="27">
        <f t="shared" si="147"/>
        <v>459535209</v>
      </c>
      <c r="H114" s="61"/>
      <c r="I114" s="32"/>
      <c r="J114" s="61">
        <v>453535209</v>
      </c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>
        <v>6000000</v>
      </c>
      <c r="AC114" s="65">
        <f t="shared" si="105"/>
        <v>0.39162613979378452</v>
      </c>
      <c r="AD114" s="27">
        <f t="shared" si="133"/>
        <v>179966000</v>
      </c>
      <c r="AE114" s="61"/>
      <c r="AF114" s="61"/>
      <c r="AG114" s="61">
        <f>+'[3]MAYO 2016'!$M$122</f>
        <v>179966000</v>
      </c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5">
        <f t="shared" si="107"/>
        <v>0.60837386020621542</v>
      </c>
      <c r="AZ114" s="27">
        <f t="shared" si="134"/>
        <v>279569209</v>
      </c>
      <c r="BA114" s="27">
        <f t="shared" si="135"/>
        <v>0</v>
      </c>
      <c r="BB114" s="61">
        <f t="shared" si="136"/>
        <v>0</v>
      </c>
      <c r="BC114" s="61">
        <f t="shared" si="136"/>
        <v>273569209</v>
      </c>
      <c r="BD114" s="61">
        <f t="shared" si="136"/>
        <v>0</v>
      </c>
      <c r="BE114" s="61">
        <f t="shared" si="137"/>
        <v>0</v>
      </c>
      <c r="BF114" s="61">
        <f t="shared" si="137"/>
        <v>0</v>
      </c>
      <c r="BG114" s="27">
        <f t="shared" si="137"/>
        <v>0</v>
      </c>
      <c r="BH114" s="61">
        <f t="shared" si="137"/>
        <v>0</v>
      </c>
      <c r="BI114" s="61">
        <f t="shared" si="137"/>
        <v>0</v>
      </c>
      <c r="BJ114" s="61">
        <f t="shared" si="137"/>
        <v>0</v>
      </c>
      <c r="BK114" s="61">
        <f t="shared" si="137"/>
        <v>0</v>
      </c>
      <c r="BL114" s="61">
        <f t="shared" si="137"/>
        <v>0</v>
      </c>
      <c r="BM114" s="61">
        <f t="shared" si="137"/>
        <v>0</v>
      </c>
      <c r="BN114" s="61">
        <f t="shared" si="137"/>
        <v>0</v>
      </c>
      <c r="BO114" s="61">
        <f t="shared" si="137"/>
        <v>0</v>
      </c>
      <c r="BP114" s="61">
        <f t="shared" si="137"/>
        <v>0</v>
      </c>
      <c r="BQ114" s="61"/>
      <c r="BR114" s="61"/>
      <c r="BS114" s="27">
        <f t="shared" si="138"/>
        <v>0</v>
      </c>
      <c r="BT114" s="61">
        <f t="shared" si="139"/>
        <v>6000000</v>
      </c>
      <c r="BU114" s="65">
        <f t="shared" si="114"/>
        <v>0.21797241655970695</v>
      </c>
      <c r="BV114" s="27">
        <f t="shared" si="140"/>
        <v>100166000</v>
      </c>
      <c r="BW114" s="61"/>
      <c r="BX114" s="61"/>
      <c r="BY114" s="61">
        <f>+'[4]ABRIL 2016'!$H$97</f>
        <v>100166000</v>
      </c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5">
        <f t="shared" si="116"/>
        <v>0.78202758344029299</v>
      </c>
      <c r="CR114" s="27">
        <f t="shared" si="141"/>
        <v>359369209</v>
      </c>
      <c r="CS114" s="27">
        <f t="shared" si="142"/>
        <v>0</v>
      </c>
      <c r="CT114" s="27">
        <f t="shared" si="142"/>
        <v>0</v>
      </c>
      <c r="CU114" s="61">
        <f t="shared" si="142"/>
        <v>353369209</v>
      </c>
      <c r="CV114" s="61">
        <f t="shared" si="142"/>
        <v>0</v>
      </c>
      <c r="CW114" s="61">
        <f t="shared" si="142"/>
        <v>0</v>
      </c>
      <c r="CX114" s="61">
        <f t="shared" si="142"/>
        <v>0</v>
      </c>
      <c r="CY114" s="27">
        <f t="shared" si="142"/>
        <v>0</v>
      </c>
      <c r="CZ114" s="61">
        <f t="shared" si="143"/>
        <v>0</v>
      </c>
      <c r="DA114" s="61">
        <f t="shared" si="143"/>
        <v>0</v>
      </c>
      <c r="DB114" s="27">
        <f t="shared" si="143"/>
        <v>0</v>
      </c>
      <c r="DC114" s="61">
        <f t="shared" si="144"/>
        <v>0</v>
      </c>
      <c r="DD114" s="61">
        <f t="shared" si="144"/>
        <v>0</v>
      </c>
      <c r="DE114" s="61">
        <f t="shared" si="144"/>
        <v>0</v>
      </c>
      <c r="DF114" s="61">
        <f t="shared" si="145"/>
        <v>0</v>
      </c>
      <c r="DG114" s="61">
        <f t="shared" si="145"/>
        <v>0</v>
      </c>
      <c r="DH114" s="61">
        <f t="shared" si="145"/>
        <v>0</v>
      </c>
      <c r="DI114" s="61"/>
      <c r="DJ114" s="61">
        <f t="shared" si="146"/>
        <v>0</v>
      </c>
      <c r="DK114" s="61">
        <f t="shared" si="146"/>
        <v>0</v>
      </c>
      <c r="DL114" s="61">
        <f t="shared" si="146"/>
        <v>6000000</v>
      </c>
      <c r="DN114" s="193"/>
      <c r="DO114" s="193"/>
      <c r="DP114" s="193"/>
      <c r="DQ114" s="193"/>
      <c r="DR114" s="193"/>
      <c r="DS114" s="189"/>
    </row>
    <row r="115" spans="1:123" ht="83.25" hidden="1" customHeight="1" x14ac:dyDescent="0.25">
      <c r="A115" s="236"/>
      <c r="B115" s="230"/>
      <c r="C115" s="75" t="s">
        <v>318</v>
      </c>
      <c r="D115" s="24" t="s">
        <v>319</v>
      </c>
      <c r="E115" s="98">
        <v>211</v>
      </c>
      <c r="F115" s="26" t="s">
        <v>320</v>
      </c>
      <c r="G115" s="27">
        <f t="shared" si="147"/>
        <v>433607498</v>
      </c>
      <c r="H115" s="27"/>
      <c r="I115" s="39"/>
      <c r="J115" s="27">
        <v>300000000</v>
      </c>
      <c r="K115" s="27"/>
      <c r="L115" s="27"/>
      <c r="M115" s="27"/>
      <c r="N115" s="27"/>
      <c r="O115" s="27"/>
      <c r="P115" s="27"/>
      <c r="Q115" s="27"/>
      <c r="R115" s="27">
        <v>15000000</v>
      </c>
      <c r="S115" s="27"/>
      <c r="T115" s="27"/>
      <c r="U115" s="27"/>
      <c r="V115" s="27"/>
      <c r="W115" s="27"/>
      <c r="X115" s="27"/>
      <c r="Y115" s="27"/>
      <c r="Z115" s="27"/>
      <c r="AA115" s="27">
        <f>105607498+8000000+9000000-4000000</f>
        <v>118607498</v>
      </c>
      <c r="AC115" s="29">
        <f t="shared" si="105"/>
        <v>0.77984927742185861</v>
      </c>
      <c r="AD115" s="27">
        <f t="shared" si="133"/>
        <v>338148494</v>
      </c>
      <c r="AE115" s="27"/>
      <c r="AF115" s="27"/>
      <c r="AG115" s="27">
        <f>+'[3]MAYO 2016'!$M$129</f>
        <v>294809318</v>
      </c>
      <c r="AH115" s="27"/>
      <c r="AI115" s="27"/>
      <c r="AJ115" s="27"/>
      <c r="AK115" s="27"/>
      <c r="AL115" s="27"/>
      <c r="AM115" s="27"/>
      <c r="AN115" s="27"/>
      <c r="AO115" s="27">
        <v>15000000</v>
      </c>
      <c r="AP115" s="27"/>
      <c r="AQ115" s="27"/>
      <c r="AR115" s="27"/>
      <c r="AS115" s="27"/>
      <c r="AT115" s="27"/>
      <c r="AU115" s="27"/>
      <c r="AV115" s="27"/>
      <c r="AW115" s="27"/>
      <c r="AX115" s="27">
        <f>+'[1]JUNIO 2016'!$AG$140</f>
        <v>28339176</v>
      </c>
      <c r="AY115" s="29">
        <f t="shared" si="107"/>
        <v>0.22015072257814139</v>
      </c>
      <c r="AZ115" s="27">
        <f t="shared" si="134"/>
        <v>95459004</v>
      </c>
      <c r="BA115" s="27">
        <f t="shared" si="135"/>
        <v>0</v>
      </c>
      <c r="BB115" s="27">
        <f t="shared" si="136"/>
        <v>0</v>
      </c>
      <c r="BC115" s="27">
        <f t="shared" si="136"/>
        <v>5190682</v>
      </c>
      <c r="BD115" s="27">
        <f t="shared" si="136"/>
        <v>0</v>
      </c>
      <c r="BE115" s="27">
        <f t="shared" si="137"/>
        <v>0</v>
      </c>
      <c r="BF115" s="27">
        <f t="shared" si="137"/>
        <v>0</v>
      </c>
      <c r="BG115" s="27">
        <f t="shared" si="137"/>
        <v>0</v>
      </c>
      <c r="BH115" s="27">
        <f t="shared" si="137"/>
        <v>0</v>
      </c>
      <c r="BI115" s="27">
        <f t="shared" si="137"/>
        <v>0</v>
      </c>
      <c r="BJ115" s="27">
        <f t="shared" si="137"/>
        <v>0</v>
      </c>
      <c r="BK115" s="27">
        <f t="shared" si="137"/>
        <v>0</v>
      </c>
      <c r="BL115" s="27">
        <f t="shared" si="137"/>
        <v>0</v>
      </c>
      <c r="BM115" s="27">
        <f t="shared" si="137"/>
        <v>0</v>
      </c>
      <c r="BN115" s="27">
        <f t="shared" si="137"/>
        <v>0</v>
      </c>
      <c r="BO115" s="27">
        <f t="shared" si="137"/>
        <v>0</v>
      </c>
      <c r="BP115" s="27">
        <f t="shared" si="137"/>
        <v>0</v>
      </c>
      <c r="BQ115" s="27"/>
      <c r="BR115" s="27"/>
      <c r="BS115" s="27">
        <f t="shared" si="138"/>
        <v>0</v>
      </c>
      <c r="BT115" s="27">
        <f t="shared" si="139"/>
        <v>90268322</v>
      </c>
      <c r="BU115" s="29">
        <f t="shared" si="114"/>
        <v>0.24311002574037591</v>
      </c>
      <c r="BV115" s="27">
        <f t="shared" si="140"/>
        <v>105414330</v>
      </c>
      <c r="BW115" s="27"/>
      <c r="BX115" s="27"/>
      <c r="BY115" s="27">
        <f>+'[1]JUNIO 2016'!$H$144+'[1]JUNIO 2016'!$H$146+'[1]JUNIO 2016'!$H$152+'[1]JUNIO 2016'!$H$153</f>
        <v>62075154</v>
      </c>
      <c r="BZ115" s="27"/>
      <c r="CA115" s="27"/>
      <c r="CB115" s="27"/>
      <c r="CC115" s="27"/>
      <c r="CD115" s="27"/>
      <c r="CE115" s="27"/>
      <c r="CF115" s="27"/>
      <c r="CG115" s="27">
        <f>+'[2]MARZO 2016 ULTIMO'!$H$88</f>
        <v>15000000</v>
      </c>
      <c r="CH115" s="27"/>
      <c r="CI115" s="27"/>
      <c r="CJ115" s="27"/>
      <c r="CK115" s="27"/>
      <c r="CL115" s="27"/>
      <c r="CM115" s="27"/>
      <c r="CN115" s="27"/>
      <c r="CO115" s="27"/>
      <c r="CP115" s="27">
        <f>+'[1]JUNIO 2016'!$H$148+'[1]JUNIO 2016'!$H$150+'[1]JUNIO 2016'!$H$157+'[1]JUNIO 2016'!$H$159</f>
        <v>28339176</v>
      </c>
      <c r="CQ115" s="29">
        <f t="shared" si="116"/>
        <v>0.75688997425962412</v>
      </c>
      <c r="CR115" s="27">
        <f t="shared" si="141"/>
        <v>328193168</v>
      </c>
      <c r="CS115" s="27">
        <f t="shared" si="142"/>
        <v>0</v>
      </c>
      <c r="CT115" s="27">
        <f t="shared" si="142"/>
        <v>0</v>
      </c>
      <c r="CU115" s="27">
        <f t="shared" si="142"/>
        <v>237924846</v>
      </c>
      <c r="CV115" s="27">
        <f t="shared" si="142"/>
        <v>0</v>
      </c>
      <c r="CW115" s="27">
        <f t="shared" si="142"/>
        <v>0</v>
      </c>
      <c r="CX115" s="27">
        <f t="shared" si="142"/>
        <v>0</v>
      </c>
      <c r="CY115" s="27">
        <f t="shared" si="142"/>
        <v>0</v>
      </c>
      <c r="CZ115" s="27">
        <f t="shared" si="143"/>
        <v>0</v>
      </c>
      <c r="DA115" s="27">
        <f t="shared" si="143"/>
        <v>0</v>
      </c>
      <c r="DB115" s="27">
        <f t="shared" si="143"/>
        <v>0</v>
      </c>
      <c r="DC115" s="27">
        <f t="shared" si="144"/>
        <v>0</v>
      </c>
      <c r="DD115" s="27">
        <f t="shared" si="144"/>
        <v>0</v>
      </c>
      <c r="DE115" s="27">
        <f t="shared" si="144"/>
        <v>0</v>
      </c>
      <c r="DF115" s="27">
        <f t="shared" si="145"/>
        <v>0</v>
      </c>
      <c r="DG115" s="27">
        <f t="shared" si="145"/>
        <v>0</v>
      </c>
      <c r="DH115" s="27">
        <f t="shared" si="145"/>
        <v>0</v>
      </c>
      <c r="DI115" s="27"/>
      <c r="DJ115" s="27">
        <f t="shared" si="146"/>
        <v>0</v>
      </c>
      <c r="DK115" s="27">
        <f t="shared" si="146"/>
        <v>0</v>
      </c>
      <c r="DL115" s="27">
        <f t="shared" si="146"/>
        <v>90268322</v>
      </c>
      <c r="DN115" s="193"/>
      <c r="DO115" s="193"/>
      <c r="DP115" s="193"/>
      <c r="DQ115" s="193"/>
      <c r="DR115" s="193"/>
    </row>
    <row r="116" spans="1:123" ht="81" hidden="1" customHeight="1" x14ac:dyDescent="0.25">
      <c r="A116" s="236"/>
      <c r="B116" s="230"/>
      <c r="C116" s="75" t="s">
        <v>321</v>
      </c>
      <c r="D116" s="24" t="s">
        <v>322</v>
      </c>
      <c r="E116" s="98">
        <v>211</v>
      </c>
      <c r="F116" s="26" t="s">
        <v>320</v>
      </c>
      <c r="G116" s="27">
        <f t="shared" si="147"/>
        <v>107477711</v>
      </c>
      <c r="H116" s="27"/>
      <c r="I116" s="39"/>
      <c r="J116" s="27">
        <v>50000000</v>
      </c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>
        <f>47318981+5271083+155508+1089440+2317590+1325109</f>
        <v>57477711</v>
      </c>
      <c r="AC116" s="29">
        <f t="shared" si="105"/>
        <v>0.10116449167772097</v>
      </c>
      <c r="AD116" s="27">
        <f t="shared" si="133"/>
        <v>10872928</v>
      </c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>
        <f>+'[1]JUNIO 2016'!$AG$163</f>
        <v>10872928</v>
      </c>
      <c r="AY116" s="29">
        <f t="shared" si="107"/>
        <v>0.89883550832227899</v>
      </c>
      <c r="AZ116" s="27">
        <f t="shared" si="134"/>
        <v>96604783</v>
      </c>
      <c r="BA116" s="27">
        <f t="shared" si="135"/>
        <v>0</v>
      </c>
      <c r="BB116" s="27">
        <f t="shared" si="136"/>
        <v>0</v>
      </c>
      <c r="BC116" s="27">
        <f t="shared" si="136"/>
        <v>50000000</v>
      </c>
      <c r="BD116" s="27">
        <f t="shared" si="136"/>
        <v>0</v>
      </c>
      <c r="BE116" s="27">
        <f t="shared" si="137"/>
        <v>0</v>
      </c>
      <c r="BF116" s="27">
        <f t="shared" si="137"/>
        <v>0</v>
      </c>
      <c r="BG116" s="27">
        <f t="shared" si="137"/>
        <v>0</v>
      </c>
      <c r="BH116" s="27">
        <f t="shared" si="137"/>
        <v>0</v>
      </c>
      <c r="BI116" s="27">
        <f t="shared" si="137"/>
        <v>0</v>
      </c>
      <c r="BJ116" s="27">
        <f t="shared" si="137"/>
        <v>0</v>
      </c>
      <c r="BK116" s="27">
        <f t="shared" si="137"/>
        <v>0</v>
      </c>
      <c r="BL116" s="27">
        <f t="shared" si="137"/>
        <v>0</v>
      </c>
      <c r="BM116" s="27">
        <f t="shared" si="137"/>
        <v>0</v>
      </c>
      <c r="BN116" s="27">
        <f t="shared" si="137"/>
        <v>0</v>
      </c>
      <c r="BO116" s="27">
        <f t="shared" si="137"/>
        <v>0</v>
      </c>
      <c r="BP116" s="27">
        <f t="shared" si="137"/>
        <v>0</v>
      </c>
      <c r="BQ116" s="27"/>
      <c r="BR116" s="27"/>
      <c r="BS116" s="27">
        <f t="shared" si="138"/>
        <v>0</v>
      </c>
      <c r="BT116" s="27">
        <f t="shared" si="139"/>
        <v>46604783</v>
      </c>
      <c r="BU116" s="29">
        <f t="shared" si="114"/>
        <v>5.3278023384774172E-2</v>
      </c>
      <c r="BV116" s="27">
        <f t="shared" si="140"/>
        <v>5726200</v>
      </c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>
        <f>+'[1]JUNIO 2016'!$H$161</f>
        <v>5726200</v>
      </c>
      <c r="CQ116" s="29">
        <f t="shared" si="116"/>
        <v>0.94672197661522584</v>
      </c>
      <c r="CR116" s="27">
        <f t="shared" si="141"/>
        <v>101751511</v>
      </c>
      <c r="CS116" s="27">
        <f t="shared" si="142"/>
        <v>0</v>
      </c>
      <c r="CT116" s="27">
        <f t="shared" si="142"/>
        <v>0</v>
      </c>
      <c r="CU116" s="27">
        <f t="shared" si="142"/>
        <v>50000000</v>
      </c>
      <c r="CV116" s="27">
        <f t="shared" si="142"/>
        <v>0</v>
      </c>
      <c r="CW116" s="27">
        <f t="shared" si="142"/>
        <v>0</v>
      </c>
      <c r="CX116" s="27">
        <f t="shared" si="142"/>
        <v>0</v>
      </c>
      <c r="CY116" s="27">
        <f t="shared" si="142"/>
        <v>0</v>
      </c>
      <c r="CZ116" s="27">
        <f t="shared" si="143"/>
        <v>0</v>
      </c>
      <c r="DA116" s="27">
        <f t="shared" si="143"/>
        <v>0</v>
      </c>
      <c r="DB116" s="27">
        <f t="shared" si="143"/>
        <v>0</v>
      </c>
      <c r="DC116" s="27">
        <f t="shared" si="144"/>
        <v>0</v>
      </c>
      <c r="DD116" s="27">
        <f t="shared" si="144"/>
        <v>0</v>
      </c>
      <c r="DE116" s="27">
        <f t="shared" si="144"/>
        <v>0</v>
      </c>
      <c r="DF116" s="27">
        <f t="shared" si="145"/>
        <v>0</v>
      </c>
      <c r="DG116" s="27">
        <f t="shared" si="145"/>
        <v>0</v>
      </c>
      <c r="DH116" s="27">
        <f t="shared" si="145"/>
        <v>0</v>
      </c>
      <c r="DI116" s="27"/>
      <c r="DJ116" s="27">
        <f t="shared" si="146"/>
        <v>0</v>
      </c>
      <c r="DK116" s="27">
        <f t="shared" si="146"/>
        <v>0</v>
      </c>
      <c r="DL116" s="27">
        <f t="shared" si="146"/>
        <v>51751511</v>
      </c>
      <c r="DN116" s="193"/>
      <c r="DO116" s="193"/>
      <c r="DP116" s="193"/>
      <c r="DQ116" s="193"/>
      <c r="DR116" s="193"/>
    </row>
    <row r="117" spans="1:123" ht="24.75" hidden="1" customHeight="1" x14ac:dyDescent="0.25">
      <c r="A117" s="236"/>
      <c r="B117" s="230"/>
      <c r="C117" s="75" t="s">
        <v>323</v>
      </c>
      <c r="D117" s="24" t="s">
        <v>324</v>
      </c>
      <c r="E117" s="98">
        <v>211</v>
      </c>
      <c r="F117" s="26" t="s">
        <v>325</v>
      </c>
      <c r="G117" s="27">
        <f t="shared" si="147"/>
        <v>3000000</v>
      </c>
      <c r="H117" s="27"/>
      <c r="I117" s="39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>
        <v>3000000</v>
      </c>
      <c r="AC117" s="29">
        <f t="shared" si="105"/>
        <v>1</v>
      </c>
      <c r="AD117" s="27">
        <f t="shared" si="133"/>
        <v>3000000</v>
      </c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>
        <v>3000000</v>
      </c>
      <c r="AY117" s="29">
        <f t="shared" si="107"/>
        <v>0</v>
      </c>
      <c r="AZ117" s="27">
        <f t="shared" si="134"/>
        <v>0</v>
      </c>
      <c r="BA117" s="27">
        <f t="shared" si="135"/>
        <v>0</v>
      </c>
      <c r="BB117" s="27">
        <f t="shared" si="136"/>
        <v>0</v>
      </c>
      <c r="BC117" s="27">
        <f t="shared" si="136"/>
        <v>0</v>
      </c>
      <c r="BD117" s="27">
        <f t="shared" si="136"/>
        <v>0</v>
      </c>
      <c r="BE117" s="27">
        <f t="shared" si="137"/>
        <v>0</v>
      </c>
      <c r="BF117" s="27">
        <f t="shared" si="137"/>
        <v>0</v>
      </c>
      <c r="BG117" s="27">
        <f t="shared" si="137"/>
        <v>0</v>
      </c>
      <c r="BH117" s="27">
        <f t="shared" si="137"/>
        <v>0</v>
      </c>
      <c r="BI117" s="27">
        <f t="shared" si="137"/>
        <v>0</v>
      </c>
      <c r="BJ117" s="27">
        <f t="shared" si="137"/>
        <v>0</v>
      </c>
      <c r="BK117" s="27">
        <f t="shared" si="137"/>
        <v>0</v>
      </c>
      <c r="BL117" s="27">
        <f t="shared" si="137"/>
        <v>0</v>
      </c>
      <c r="BM117" s="27">
        <f t="shared" si="137"/>
        <v>0</v>
      </c>
      <c r="BN117" s="27">
        <f t="shared" si="137"/>
        <v>0</v>
      </c>
      <c r="BO117" s="27">
        <f t="shared" si="137"/>
        <v>0</v>
      </c>
      <c r="BP117" s="27">
        <f t="shared" si="137"/>
        <v>0</v>
      </c>
      <c r="BQ117" s="27"/>
      <c r="BR117" s="27"/>
      <c r="BS117" s="27">
        <f t="shared" si="138"/>
        <v>0</v>
      </c>
      <c r="BT117" s="27">
        <f t="shared" si="139"/>
        <v>0</v>
      </c>
      <c r="BU117" s="29">
        <f t="shared" si="114"/>
        <v>0.99367266666666665</v>
      </c>
      <c r="BV117" s="27">
        <f t="shared" si="140"/>
        <v>2981018</v>
      </c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>
        <v>2981018</v>
      </c>
      <c r="CQ117" s="29">
        <f t="shared" si="116"/>
        <v>6.3273333333333515E-3</v>
      </c>
      <c r="CR117" s="27">
        <f t="shared" si="141"/>
        <v>18982</v>
      </c>
      <c r="CS117" s="27">
        <f t="shared" si="142"/>
        <v>0</v>
      </c>
      <c r="CT117" s="27">
        <f t="shared" si="142"/>
        <v>0</v>
      </c>
      <c r="CU117" s="27">
        <f t="shared" si="142"/>
        <v>0</v>
      </c>
      <c r="CV117" s="27">
        <f t="shared" si="142"/>
        <v>0</v>
      </c>
      <c r="CW117" s="27">
        <f t="shared" si="142"/>
        <v>0</v>
      </c>
      <c r="CX117" s="27">
        <f t="shared" si="142"/>
        <v>0</v>
      </c>
      <c r="CY117" s="27">
        <f t="shared" si="142"/>
        <v>0</v>
      </c>
      <c r="CZ117" s="27">
        <f t="shared" si="143"/>
        <v>0</v>
      </c>
      <c r="DA117" s="27">
        <f t="shared" si="143"/>
        <v>0</v>
      </c>
      <c r="DB117" s="27">
        <f t="shared" si="143"/>
        <v>0</v>
      </c>
      <c r="DC117" s="27">
        <f t="shared" si="144"/>
        <v>0</v>
      </c>
      <c r="DD117" s="27">
        <f t="shared" si="144"/>
        <v>0</v>
      </c>
      <c r="DE117" s="27">
        <f t="shared" si="144"/>
        <v>0</v>
      </c>
      <c r="DF117" s="27">
        <f t="shared" si="145"/>
        <v>0</v>
      </c>
      <c r="DG117" s="27">
        <f t="shared" si="145"/>
        <v>0</v>
      </c>
      <c r="DH117" s="27">
        <f t="shared" si="145"/>
        <v>0</v>
      </c>
      <c r="DI117" s="27"/>
      <c r="DJ117" s="27">
        <f t="shared" si="146"/>
        <v>0</v>
      </c>
      <c r="DK117" s="27">
        <f t="shared" si="146"/>
        <v>0</v>
      </c>
      <c r="DL117" s="27">
        <f t="shared" si="146"/>
        <v>18982</v>
      </c>
      <c r="DN117" s="193"/>
      <c r="DO117" s="193"/>
      <c r="DP117" s="193"/>
      <c r="DQ117" s="193"/>
      <c r="DR117" s="193"/>
    </row>
    <row r="118" spans="1:123" ht="20.25" hidden="1" customHeight="1" x14ac:dyDescent="0.25">
      <c r="A118" s="236"/>
      <c r="B118" s="230"/>
      <c r="C118" s="75" t="s">
        <v>326</v>
      </c>
      <c r="D118" s="24" t="s">
        <v>327</v>
      </c>
      <c r="E118" s="98">
        <v>211</v>
      </c>
      <c r="F118" s="26" t="s">
        <v>75</v>
      </c>
      <c r="G118" s="27">
        <f t="shared" si="147"/>
        <v>5846336</v>
      </c>
      <c r="H118" s="27"/>
      <c r="I118" s="39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>
        <f>5000000+846336</f>
        <v>5846336</v>
      </c>
      <c r="AC118" s="29">
        <f t="shared" si="105"/>
        <v>0.49506990361142433</v>
      </c>
      <c r="AD118" s="27">
        <f t="shared" si="133"/>
        <v>2894345</v>
      </c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>
        <f>+'[1]JUNIO 2016'!$AG$179</f>
        <v>2894345</v>
      </c>
      <c r="AY118" s="29">
        <f t="shared" si="107"/>
        <v>0.50493009638857567</v>
      </c>
      <c r="AZ118" s="27">
        <f t="shared" si="134"/>
        <v>2951991</v>
      </c>
      <c r="BA118" s="27">
        <f t="shared" si="135"/>
        <v>0</v>
      </c>
      <c r="BB118" s="27">
        <f t="shared" si="136"/>
        <v>0</v>
      </c>
      <c r="BC118" s="27">
        <f t="shared" si="136"/>
        <v>0</v>
      </c>
      <c r="BD118" s="27">
        <f t="shared" si="136"/>
        <v>0</v>
      </c>
      <c r="BE118" s="27">
        <f t="shared" si="137"/>
        <v>0</v>
      </c>
      <c r="BF118" s="27">
        <f t="shared" si="137"/>
        <v>0</v>
      </c>
      <c r="BG118" s="27">
        <f t="shared" si="137"/>
        <v>0</v>
      </c>
      <c r="BH118" s="27">
        <f t="shared" si="137"/>
        <v>0</v>
      </c>
      <c r="BI118" s="27">
        <f t="shared" si="137"/>
        <v>0</v>
      </c>
      <c r="BJ118" s="27">
        <f t="shared" si="137"/>
        <v>0</v>
      </c>
      <c r="BK118" s="27">
        <f t="shared" si="137"/>
        <v>0</v>
      </c>
      <c r="BL118" s="27">
        <f t="shared" si="137"/>
        <v>0</v>
      </c>
      <c r="BM118" s="27">
        <f t="shared" si="137"/>
        <v>0</v>
      </c>
      <c r="BN118" s="27">
        <f t="shared" si="137"/>
        <v>0</v>
      </c>
      <c r="BO118" s="27">
        <f t="shared" si="137"/>
        <v>0</v>
      </c>
      <c r="BP118" s="27">
        <f t="shared" si="137"/>
        <v>0</v>
      </c>
      <c r="BQ118" s="27"/>
      <c r="BR118" s="27"/>
      <c r="BS118" s="27">
        <f t="shared" si="138"/>
        <v>0</v>
      </c>
      <c r="BT118" s="27">
        <f t="shared" si="139"/>
        <v>2951991</v>
      </c>
      <c r="BU118" s="29">
        <f t="shared" si="114"/>
        <v>0.49506990361142433</v>
      </c>
      <c r="BV118" s="27">
        <f t="shared" si="140"/>
        <v>2894345</v>
      </c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>
        <f>+'[1]JUNIO 2016'!$H$177</f>
        <v>2894345</v>
      </c>
      <c r="CQ118" s="29">
        <f t="shared" si="116"/>
        <v>0.50493009638857567</v>
      </c>
      <c r="CR118" s="27">
        <f t="shared" si="141"/>
        <v>2951991</v>
      </c>
      <c r="CS118" s="27">
        <f t="shared" si="142"/>
        <v>0</v>
      </c>
      <c r="CT118" s="27">
        <f t="shared" si="142"/>
        <v>0</v>
      </c>
      <c r="CU118" s="27">
        <f t="shared" si="142"/>
        <v>0</v>
      </c>
      <c r="CV118" s="27">
        <f t="shared" si="142"/>
        <v>0</v>
      </c>
      <c r="CW118" s="27">
        <f t="shared" si="142"/>
        <v>0</v>
      </c>
      <c r="CX118" s="27">
        <f t="shared" si="142"/>
        <v>0</v>
      </c>
      <c r="CY118" s="27">
        <f t="shared" si="142"/>
        <v>0</v>
      </c>
      <c r="CZ118" s="27">
        <f t="shared" si="143"/>
        <v>0</v>
      </c>
      <c r="DA118" s="27">
        <f t="shared" si="143"/>
        <v>0</v>
      </c>
      <c r="DB118" s="27">
        <f t="shared" si="143"/>
        <v>0</v>
      </c>
      <c r="DC118" s="27">
        <f t="shared" si="144"/>
        <v>0</v>
      </c>
      <c r="DD118" s="27">
        <f t="shared" si="144"/>
        <v>0</v>
      </c>
      <c r="DE118" s="27">
        <f t="shared" si="144"/>
        <v>0</v>
      </c>
      <c r="DF118" s="27">
        <f t="shared" si="145"/>
        <v>0</v>
      </c>
      <c r="DG118" s="27">
        <f t="shared" si="145"/>
        <v>0</v>
      </c>
      <c r="DH118" s="27">
        <f t="shared" si="145"/>
        <v>0</v>
      </c>
      <c r="DI118" s="27"/>
      <c r="DJ118" s="27">
        <f t="shared" si="146"/>
        <v>0</v>
      </c>
      <c r="DK118" s="27">
        <f t="shared" si="146"/>
        <v>0</v>
      </c>
      <c r="DL118" s="27">
        <f t="shared" si="146"/>
        <v>2951991</v>
      </c>
      <c r="DN118" s="193"/>
      <c r="DO118" s="193"/>
      <c r="DP118" s="193"/>
      <c r="DQ118" s="193"/>
      <c r="DR118" s="193"/>
    </row>
    <row r="119" spans="1:123" s="64" customFormat="1" ht="17.25" hidden="1" customHeight="1" x14ac:dyDescent="0.25">
      <c r="A119" s="236"/>
      <c r="B119" s="230"/>
      <c r="C119" s="62" t="s">
        <v>328</v>
      </c>
      <c r="D119" s="24" t="s">
        <v>329</v>
      </c>
      <c r="E119" s="96">
        <v>211</v>
      </c>
      <c r="F119" s="26" t="s">
        <v>309</v>
      </c>
      <c r="G119" s="27">
        <f t="shared" si="147"/>
        <v>325200000</v>
      </c>
      <c r="H119" s="61"/>
      <c r="I119" s="32"/>
      <c r="J119" s="61">
        <f>296464791+28735209</f>
        <v>325200000</v>
      </c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>
        <f>28735209-28735209</f>
        <v>0</v>
      </c>
      <c r="W119" s="27"/>
      <c r="X119" s="27"/>
      <c r="Y119" s="27"/>
      <c r="Z119" s="27"/>
      <c r="AA119" s="27"/>
      <c r="AC119" s="65">
        <f t="shared" si="105"/>
        <v>0.5840385270602706</v>
      </c>
      <c r="AD119" s="27">
        <f t="shared" si="133"/>
        <v>189929329</v>
      </c>
      <c r="AE119" s="61"/>
      <c r="AF119" s="61"/>
      <c r="AG119" s="61">
        <f>+'[1]JUNIO 2016'!$M$187</f>
        <v>189929329</v>
      </c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5">
        <f t="shared" si="107"/>
        <v>0.4159614729397294</v>
      </c>
      <c r="AZ119" s="27">
        <f t="shared" si="134"/>
        <v>135270671</v>
      </c>
      <c r="BA119" s="27">
        <f t="shared" si="135"/>
        <v>0</v>
      </c>
      <c r="BB119" s="61">
        <f t="shared" si="136"/>
        <v>0</v>
      </c>
      <c r="BC119" s="61">
        <f t="shared" si="136"/>
        <v>135270671</v>
      </c>
      <c r="BD119" s="61">
        <f t="shared" si="136"/>
        <v>0</v>
      </c>
      <c r="BE119" s="61">
        <f t="shared" si="137"/>
        <v>0</v>
      </c>
      <c r="BF119" s="61">
        <f t="shared" si="137"/>
        <v>0</v>
      </c>
      <c r="BG119" s="27">
        <f t="shared" si="137"/>
        <v>0</v>
      </c>
      <c r="BH119" s="61">
        <f t="shared" si="137"/>
        <v>0</v>
      </c>
      <c r="BI119" s="61">
        <f t="shared" si="137"/>
        <v>0</v>
      </c>
      <c r="BJ119" s="61">
        <f t="shared" si="137"/>
        <v>0</v>
      </c>
      <c r="BK119" s="61">
        <f t="shared" si="137"/>
        <v>0</v>
      </c>
      <c r="BL119" s="61">
        <f t="shared" si="137"/>
        <v>0</v>
      </c>
      <c r="BM119" s="61">
        <f t="shared" si="137"/>
        <v>0</v>
      </c>
      <c r="BN119" s="61">
        <f t="shared" si="137"/>
        <v>0</v>
      </c>
      <c r="BO119" s="61">
        <f t="shared" si="137"/>
        <v>0</v>
      </c>
      <c r="BP119" s="61">
        <f t="shared" si="137"/>
        <v>0</v>
      </c>
      <c r="BQ119" s="61"/>
      <c r="BR119" s="61"/>
      <c r="BS119" s="27">
        <f t="shared" si="138"/>
        <v>0</v>
      </c>
      <c r="BT119" s="61">
        <f t="shared" si="139"/>
        <v>0</v>
      </c>
      <c r="BU119" s="65">
        <f t="shared" si="114"/>
        <v>0.1580639606396064</v>
      </c>
      <c r="BV119" s="27">
        <f t="shared" si="140"/>
        <v>51402400</v>
      </c>
      <c r="BW119" s="61"/>
      <c r="BX119" s="61"/>
      <c r="BY119" s="61">
        <f>+'[3]MAYO 2016'!$H$166</f>
        <v>51402400</v>
      </c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5">
        <f t="shared" si="116"/>
        <v>0.84193603936039363</v>
      </c>
      <c r="CR119" s="27">
        <f t="shared" si="141"/>
        <v>273797600</v>
      </c>
      <c r="CS119" s="27">
        <f t="shared" si="142"/>
        <v>0</v>
      </c>
      <c r="CT119" s="27">
        <f t="shared" si="142"/>
        <v>0</v>
      </c>
      <c r="CU119" s="61">
        <f t="shared" si="142"/>
        <v>273797600</v>
      </c>
      <c r="CV119" s="61">
        <f t="shared" si="142"/>
        <v>0</v>
      </c>
      <c r="CW119" s="61">
        <f t="shared" si="142"/>
        <v>0</v>
      </c>
      <c r="CX119" s="61">
        <f t="shared" si="142"/>
        <v>0</v>
      </c>
      <c r="CY119" s="27">
        <f t="shared" si="142"/>
        <v>0</v>
      </c>
      <c r="CZ119" s="61">
        <f t="shared" si="143"/>
        <v>0</v>
      </c>
      <c r="DA119" s="61">
        <f t="shared" si="143"/>
        <v>0</v>
      </c>
      <c r="DB119" s="27">
        <f t="shared" si="143"/>
        <v>0</v>
      </c>
      <c r="DC119" s="61">
        <f t="shared" si="144"/>
        <v>0</v>
      </c>
      <c r="DD119" s="61">
        <f t="shared" si="144"/>
        <v>0</v>
      </c>
      <c r="DE119" s="61">
        <f t="shared" si="144"/>
        <v>0</v>
      </c>
      <c r="DF119" s="61">
        <f t="shared" si="145"/>
        <v>0</v>
      </c>
      <c r="DG119" s="61">
        <f t="shared" si="145"/>
        <v>0</v>
      </c>
      <c r="DH119" s="61">
        <f t="shared" si="145"/>
        <v>0</v>
      </c>
      <c r="DI119" s="61"/>
      <c r="DJ119" s="61">
        <f t="shared" si="146"/>
        <v>0</v>
      </c>
      <c r="DK119" s="61">
        <f t="shared" si="146"/>
        <v>0</v>
      </c>
      <c r="DL119" s="61">
        <f t="shared" si="146"/>
        <v>0</v>
      </c>
      <c r="DN119" s="193"/>
      <c r="DO119" s="193"/>
      <c r="DP119" s="193"/>
      <c r="DQ119" s="193"/>
      <c r="DR119" s="193"/>
      <c r="DS119" s="189"/>
    </row>
    <row r="120" spans="1:123" s="64" customFormat="1" ht="17.25" hidden="1" customHeight="1" x14ac:dyDescent="0.25">
      <c r="A120" s="236"/>
      <c r="B120" s="231"/>
      <c r="C120" s="62" t="s">
        <v>330</v>
      </c>
      <c r="D120" s="24" t="s">
        <v>331</v>
      </c>
      <c r="E120" s="96">
        <v>211</v>
      </c>
      <c r="F120" s="26" t="s">
        <v>309</v>
      </c>
      <c r="G120" s="27">
        <f t="shared" si="147"/>
        <v>250000000</v>
      </c>
      <c r="H120" s="61"/>
      <c r="I120" s="32"/>
      <c r="J120" s="61"/>
      <c r="K120" s="27"/>
      <c r="L120" s="27"/>
      <c r="M120" s="27"/>
      <c r="N120" s="27"/>
      <c r="O120" s="27"/>
      <c r="P120" s="27"/>
      <c r="Q120" s="27"/>
      <c r="R120" s="27"/>
      <c r="S120" s="27"/>
      <c r="T120" s="27">
        <v>250000000</v>
      </c>
      <c r="U120" s="27"/>
      <c r="V120" s="27"/>
      <c r="W120" s="27"/>
      <c r="X120" s="27"/>
      <c r="Y120" s="27"/>
      <c r="Z120" s="27"/>
      <c r="AA120" s="27"/>
      <c r="AC120" s="65">
        <f t="shared" si="105"/>
        <v>1</v>
      </c>
      <c r="AD120" s="27">
        <f t="shared" si="133"/>
        <v>250000000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>
        <f>+'[1]JUNIO 2016'!$W$197</f>
        <v>250000000</v>
      </c>
      <c r="AR120" s="61"/>
      <c r="AS120" s="61"/>
      <c r="AT120" s="61"/>
      <c r="AU120" s="61"/>
      <c r="AV120" s="61"/>
      <c r="AW120" s="61"/>
      <c r="AX120" s="61"/>
      <c r="AY120" s="65">
        <f t="shared" si="107"/>
        <v>0</v>
      </c>
      <c r="AZ120" s="27">
        <f t="shared" si="134"/>
        <v>0</v>
      </c>
      <c r="BA120" s="27">
        <f t="shared" si="135"/>
        <v>0</v>
      </c>
      <c r="BB120" s="61">
        <f t="shared" si="136"/>
        <v>0</v>
      </c>
      <c r="BC120" s="61">
        <f t="shared" si="136"/>
        <v>0</v>
      </c>
      <c r="BD120" s="61">
        <f t="shared" si="136"/>
        <v>0</v>
      </c>
      <c r="BE120" s="61">
        <f t="shared" si="136"/>
        <v>0</v>
      </c>
      <c r="BF120" s="61">
        <f t="shared" si="136"/>
        <v>0</v>
      </c>
      <c r="BG120" s="61">
        <f t="shared" si="136"/>
        <v>0</v>
      </c>
      <c r="BH120" s="61">
        <f t="shared" si="136"/>
        <v>0</v>
      </c>
      <c r="BI120" s="61">
        <f t="shared" si="136"/>
        <v>0</v>
      </c>
      <c r="BJ120" s="61">
        <f t="shared" si="136"/>
        <v>0</v>
      </c>
      <c r="BK120" s="61">
        <f t="shared" si="136"/>
        <v>0</v>
      </c>
      <c r="BL120" s="61">
        <f t="shared" si="136"/>
        <v>0</v>
      </c>
      <c r="BM120" s="61">
        <f t="shared" si="136"/>
        <v>0</v>
      </c>
      <c r="BN120" s="61">
        <f t="shared" si="136"/>
        <v>0</v>
      </c>
      <c r="BO120" s="61">
        <f t="shared" si="136"/>
        <v>0</v>
      </c>
      <c r="BP120" s="61">
        <f t="shared" si="136"/>
        <v>0</v>
      </c>
      <c r="BQ120" s="61"/>
      <c r="BR120" s="61">
        <f>Y120-AV120</f>
        <v>0</v>
      </c>
      <c r="BS120" s="27">
        <f t="shared" si="138"/>
        <v>0</v>
      </c>
      <c r="BT120" s="61">
        <f>AA120-AX120</f>
        <v>0</v>
      </c>
      <c r="BU120" s="65">
        <f t="shared" si="114"/>
        <v>0.45569890400000002</v>
      </c>
      <c r="BV120" s="27">
        <f t="shared" si="140"/>
        <v>113924726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>
        <f>+'[1]JUNIO 2016'!$H$195</f>
        <v>113924726</v>
      </c>
      <c r="CJ120" s="61"/>
      <c r="CK120" s="61"/>
      <c r="CL120" s="61"/>
      <c r="CM120" s="61"/>
      <c r="CN120" s="61"/>
      <c r="CO120" s="61"/>
      <c r="CP120" s="61"/>
      <c r="CQ120" s="65">
        <f t="shared" si="116"/>
        <v>0.54430109599999998</v>
      </c>
      <c r="CR120" s="27">
        <f t="shared" si="141"/>
        <v>136075274</v>
      </c>
      <c r="CS120" s="27">
        <f t="shared" si="142"/>
        <v>0</v>
      </c>
      <c r="CT120" s="27">
        <f t="shared" si="142"/>
        <v>0</v>
      </c>
      <c r="CU120" s="27">
        <f t="shared" si="142"/>
        <v>0</v>
      </c>
      <c r="CV120" s="27">
        <f t="shared" si="142"/>
        <v>0</v>
      </c>
      <c r="CW120" s="27">
        <f t="shared" si="142"/>
        <v>0</v>
      </c>
      <c r="CX120" s="27">
        <f t="shared" si="142"/>
        <v>0</v>
      </c>
      <c r="CY120" s="27">
        <f t="shared" si="142"/>
        <v>0</v>
      </c>
      <c r="CZ120" s="27">
        <f>O120-CD120</f>
        <v>0</v>
      </c>
      <c r="DA120" s="27">
        <f>P120-CE120</f>
        <v>0</v>
      </c>
      <c r="DB120" s="27">
        <f>Q120-CF120</f>
        <v>0</v>
      </c>
      <c r="DC120" s="27">
        <f t="shared" si="144"/>
        <v>0</v>
      </c>
      <c r="DD120" s="27">
        <f t="shared" si="144"/>
        <v>0</v>
      </c>
      <c r="DE120" s="27">
        <f t="shared" si="144"/>
        <v>136075274</v>
      </c>
      <c r="DF120" s="27">
        <f>U120-CJ120</f>
        <v>0</v>
      </c>
      <c r="DG120" s="27">
        <f>V120-CK120</f>
        <v>0</v>
      </c>
      <c r="DH120" s="27">
        <f>W120-CL120</f>
        <v>0</v>
      </c>
      <c r="DI120" s="27"/>
      <c r="DJ120" s="27">
        <f>Y120-CN120</f>
        <v>0</v>
      </c>
      <c r="DK120" s="27">
        <f>Z120-CO120</f>
        <v>0</v>
      </c>
      <c r="DL120" s="27">
        <f>AA120-CP120</f>
        <v>0</v>
      </c>
      <c r="DN120" s="193"/>
      <c r="DO120" s="193"/>
      <c r="DP120" s="193"/>
      <c r="DQ120" s="193"/>
      <c r="DR120" s="193"/>
      <c r="DS120" s="189"/>
    </row>
    <row r="121" spans="1:123" s="64" customFormat="1" ht="33" hidden="1" customHeight="1" x14ac:dyDescent="0.25">
      <c r="A121" s="101"/>
      <c r="B121" s="24" t="s">
        <v>332</v>
      </c>
      <c r="C121" s="62" t="s">
        <v>333</v>
      </c>
      <c r="D121" s="24" t="s">
        <v>367</v>
      </c>
      <c r="E121" s="96" t="s">
        <v>334</v>
      </c>
      <c r="F121" s="26" t="s">
        <v>309</v>
      </c>
      <c r="G121" s="27">
        <f t="shared" si="147"/>
        <v>3185000000</v>
      </c>
      <c r="H121" s="61"/>
      <c r="I121" s="32"/>
      <c r="J121" s="61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>
        <f>485000000</f>
        <v>485000000</v>
      </c>
      <c r="V121" s="27"/>
      <c r="W121" s="27"/>
      <c r="X121" s="27"/>
      <c r="Y121" s="27">
        <v>2700000000</v>
      </c>
      <c r="Z121" s="27"/>
      <c r="AA121" s="27"/>
      <c r="AC121" s="65">
        <f t="shared" si="105"/>
        <v>1</v>
      </c>
      <c r="AD121" s="27">
        <f t="shared" si="133"/>
        <v>3185000000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>
        <f>+'[4]ABRIL 2016'!$X$1694</f>
        <v>485000000</v>
      </c>
      <c r="AS121" s="61"/>
      <c r="AT121" s="61"/>
      <c r="AU121" s="61"/>
      <c r="AV121" s="61">
        <f>+'[7]MARZO 2016 ULTIMO'!$AA$1371</f>
        <v>2700000000</v>
      </c>
      <c r="AW121" s="61"/>
      <c r="AX121" s="61"/>
      <c r="AY121" s="65">
        <f t="shared" si="107"/>
        <v>0</v>
      </c>
      <c r="AZ121" s="27">
        <f t="shared" si="134"/>
        <v>0</v>
      </c>
      <c r="BA121" s="27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>
        <f>U121-AR121</f>
        <v>0</v>
      </c>
      <c r="BO121" s="61"/>
      <c r="BP121" s="61"/>
      <c r="BQ121" s="61"/>
      <c r="BR121" s="61">
        <f>Y121-AV121</f>
        <v>0</v>
      </c>
      <c r="BS121" s="27"/>
      <c r="BT121" s="61"/>
      <c r="BU121" s="65">
        <f t="shared" si="114"/>
        <v>0.25496371679748825</v>
      </c>
      <c r="BV121" s="27">
        <f t="shared" si="140"/>
        <v>812059438</v>
      </c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>
        <f>+'[3]MAYO 2016'!$H$1940</f>
        <v>359172189</v>
      </c>
      <c r="CK121" s="61"/>
      <c r="CL121" s="61"/>
      <c r="CM121" s="61"/>
      <c r="CN121" s="61">
        <f>+'[3]MAYO 2016'!$H$1948</f>
        <v>452887249</v>
      </c>
      <c r="CO121" s="61"/>
      <c r="CP121" s="61"/>
      <c r="CQ121" s="65">
        <f t="shared" si="116"/>
        <v>0.7450362832025117</v>
      </c>
      <c r="CR121" s="27">
        <f t="shared" si="141"/>
        <v>2372940562</v>
      </c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>
        <f>U121-CJ121</f>
        <v>125827811</v>
      </c>
      <c r="DG121" s="27"/>
      <c r="DH121" s="27"/>
      <c r="DI121" s="27"/>
      <c r="DJ121" s="27">
        <f>Y121-CN121</f>
        <v>2247112751</v>
      </c>
      <c r="DK121" s="27"/>
      <c r="DL121" s="27"/>
      <c r="DN121" s="193"/>
      <c r="DO121" s="193"/>
      <c r="DP121" s="193"/>
      <c r="DQ121" s="193"/>
      <c r="DR121" s="193"/>
      <c r="DS121" s="189"/>
    </row>
    <row r="122" spans="1:123" ht="29.25" hidden="1" customHeight="1" x14ac:dyDescent="0.25">
      <c r="A122" s="236" t="s">
        <v>299</v>
      </c>
      <c r="B122" s="229" t="s">
        <v>335</v>
      </c>
      <c r="C122" s="75" t="s">
        <v>336</v>
      </c>
      <c r="D122" s="24" t="s">
        <v>337</v>
      </c>
      <c r="E122" s="98">
        <v>510</v>
      </c>
      <c r="F122" s="26" t="s">
        <v>338</v>
      </c>
      <c r="G122" s="27">
        <f t="shared" si="147"/>
        <v>95000000</v>
      </c>
      <c r="H122" s="27"/>
      <c r="I122" s="27"/>
      <c r="J122" s="27"/>
      <c r="K122" s="27"/>
      <c r="L122" s="27">
        <v>95000000</v>
      </c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9">
        <f t="shared" si="105"/>
        <v>0.80492631578947371</v>
      </c>
      <c r="AD122" s="27">
        <f t="shared" si="133"/>
        <v>76468000</v>
      </c>
      <c r="AE122" s="27"/>
      <c r="AF122" s="27"/>
      <c r="AG122" s="27"/>
      <c r="AH122" s="27"/>
      <c r="AI122" s="27">
        <f>+'[1]JUNIO 2016'!$O$1664</f>
        <v>76468000</v>
      </c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9">
        <f t="shared" si="107"/>
        <v>0.19507368421052629</v>
      </c>
      <c r="AZ122" s="27">
        <f t="shared" si="134"/>
        <v>18532000</v>
      </c>
      <c r="BA122" s="27">
        <f t="shared" ref="BA122:BA127" si="148">+H122</f>
        <v>0</v>
      </c>
      <c r="BB122" s="27">
        <f t="shared" ref="BB122:BD127" si="149">I122-AF122</f>
        <v>0</v>
      </c>
      <c r="BC122" s="27">
        <f t="shared" si="149"/>
        <v>0</v>
      </c>
      <c r="BD122" s="27">
        <f t="shared" si="149"/>
        <v>0</v>
      </c>
      <c r="BE122" s="27">
        <f t="shared" ref="BE122:BP127" si="150">+L122-AI122</f>
        <v>18532000</v>
      </c>
      <c r="BF122" s="27">
        <f t="shared" si="150"/>
        <v>0</v>
      </c>
      <c r="BG122" s="27">
        <f t="shared" si="150"/>
        <v>0</v>
      </c>
      <c r="BH122" s="27">
        <f t="shared" si="150"/>
        <v>0</v>
      </c>
      <c r="BI122" s="27">
        <f t="shared" si="150"/>
        <v>0</v>
      </c>
      <c r="BJ122" s="27">
        <f t="shared" si="150"/>
        <v>0</v>
      </c>
      <c r="BK122" s="27">
        <f t="shared" si="150"/>
        <v>0</v>
      </c>
      <c r="BL122" s="27">
        <f t="shared" si="150"/>
        <v>0</v>
      </c>
      <c r="BM122" s="27">
        <f t="shared" si="150"/>
        <v>0</v>
      </c>
      <c r="BN122" s="27">
        <f t="shared" si="150"/>
        <v>0</v>
      </c>
      <c r="BO122" s="27">
        <f t="shared" si="150"/>
        <v>0</v>
      </c>
      <c r="BP122" s="27">
        <f t="shared" si="150"/>
        <v>0</v>
      </c>
      <c r="BQ122" s="27"/>
      <c r="BR122" s="27"/>
      <c r="BS122" s="27">
        <f t="shared" ref="BS122:BS127" si="151">Z122-AW122</f>
        <v>0</v>
      </c>
      <c r="BT122" s="27">
        <f t="shared" ref="BT122:BT127" si="152">+AA122-AX122</f>
        <v>0</v>
      </c>
      <c r="BU122" s="29">
        <f t="shared" si="114"/>
        <v>0.54256421052631576</v>
      </c>
      <c r="BV122" s="27">
        <f t="shared" si="140"/>
        <v>51543600</v>
      </c>
      <c r="BW122" s="27"/>
      <c r="BX122" s="27"/>
      <c r="BY122" s="27"/>
      <c r="BZ122" s="27"/>
      <c r="CA122" s="27">
        <f>+'[1]JUNIO 2016'!$H$1662</f>
        <v>51543600</v>
      </c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9">
        <f t="shared" si="116"/>
        <v>0.45743578947368424</v>
      </c>
      <c r="CR122" s="27">
        <f t="shared" si="141"/>
        <v>43456400</v>
      </c>
      <c r="CS122" s="27">
        <f t="shared" ref="CS122:CY127" si="153">H122-BW122</f>
        <v>0</v>
      </c>
      <c r="CT122" s="27">
        <f t="shared" si="153"/>
        <v>0</v>
      </c>
      <c r="CU122" s="27">
        <f t="shared" si="153"/>
        <v>0</v>
      </c>
      <c r="CV122" s="27">
        <f t="shared" si="153"/>
        <v>0</v>
      </c>
      <c r="CW122" s="27">
        <f t="shared" si="153"/>
        <v>43456400</v>
      </c>
      <c r="CX122" s="27">
        <f t="shared" si="153"/>
        <v>0</v>
      </c>
      <c r="CY122" s="27">
        <f t="shared" si="153"/>
        <v>0</v>
      </c>
      <c r="CZ122" s="27">
        <f t="shared" ref="CZ122:DB127" si="154">+O122-CD122</f>
        <v>0</v>
      </c>
      <c r="DA122" s="27">
        <f t="shared" si="154"/>
        <v>0</v>
      </c>
      <c r="DB122" s="27">
        <f t="shared" si="154"/>
        <v>0</v>
      </c>
      <c r="DC122" s="27">
        <f t="shared" ref="DC122:DE127" si="155">R122-CG122</f>
        <v>0</v>
      </c>
      <c r="DD122" s="27">
        <f t="shared" si="155"/>
        <v>0</v>
      </c>
      <c r="DE122" s="27">
        <f t="shared" si="155"/>
        <v>0</v>
      </c>
      <c r="DF122" s="27">
        <f t="shared" ref="DF122:DH127" si="156">+U122-CJ122</f>
        <v>0</v>
      </c>
      <c r="DG122" s="27">
        <f t="shared" si="156"/>
        <v>0</v>
      </c>
      <c r="DH122" s="27">
        <f t="shared" si="156"/>
        <v>0</v>
      </c>
      <c r="DI122" s="27"/>
      <c r="DJ122" s="27">
        <f t="shared" ref="DJ122:DL127" si="157">+Y122-CN122</f>
        <v>0</v>
      </c>
      <c r="DK122" s="27">
        <f t="shared" si="157"/>
        <v>0</v>
      </c>
      <c r="DL122" s="27">
        <f t="shared" si="157"/>
        <v>0</v>
      </c>
      <c r="DN122" s="193"/>
      <c r="DO122" s="193"/>
      <c r="DP122" s="193"/>
      <c r="DQ122" s="193"/>
      <c r="DR122" s="193"/>
    </row>
    <row r="123" spans="1:123" ht="38.25" hidden="1" customHeight="1" x14ac:dyDescent="0.25">
      <c r="A123" s="236"/>
      <c r="B123" s="230"/>
      <c r="C123" s="75" t="s">
        <v>339</v>
      </c>
      <c r="D123" s="24" t="s">
        <v>340</v>
      </c>
      <c r="E123" s="98">
        <v>510</v>
      </c>
      <c r="F123" s="26" t="s">
        <v>338</v>
      </c>
      <c r="G123" s="27">
        <f t="shared" si="147"/>
        <v>102000000</v>
      </c>
      <c r="H123" s="27"/>
      <c r="I123" s="27"/>
      <c r="J123" s="27"/>
      <c r="K123" s="27"/>
      <c r="L123" s="27">
        <v>102000000</v>
      </c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C123" s="29">
        <f t="shared" si="105"/>
        <v>0.94607843137254899</v>
      </c>
      <c r="AD123" s="27">
        <f t="shared" si="133"/>
        <v>96500000</v>
      </c>
      <c r="AE123" s="27"/>
      <c r="AF123" s="27"/>
      <c r="AG123" s="27"/>
      <c r="AH123" s="27"/>
      <c r="AI123" s="27">
        <f>+'[1]JUNIO 2016'!$O$1677</f>
        <v>96500000</v>
      </c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9">
        <f t="shared" si="107"/>
        <v>5.3921568627451011E-2</v>
      </c>
      <c r="AZ123" s="27">
        <f t="shared" si="134"/>
        <v>5500000</v>
      </c>
      <c r="BA123" s="27">
        <f t="shared" si="148"/>
        <v>0</v>
      </c>
      <c r="BB123" s="27">
        <f t="shared" si="149"/>
        <v>0</v>
      </c>
      <c r="BC123" s="27">
        <f t="shared" si="149"/>
        <v>0</v>
      </c>
      <c r="BD123" s="27">
        <f t="shared" si="149"/>
        <v>0</v>
      </c>
      <c r="BE123" s="27">
        <f t="shared" si="150"/>
        <v>5500000</v>
      </c>
      <c r="BF123" s="27">
        <f t="shared" si="150"/>
        <v>0</v>
      </c>
      <c r="BG123" s="27">
        <f t="shared" si="150"/>
        <v>0</v>
      </c>
      <c r="BH123" s="27">
        <f t="shared" si="150"/>
        <v>0</v>
      </c>
      <c r="BI123" s="27">
        <f t="shared" si="150"/>
        <v>0</v>
      </c>
      <c r="BJ123" s="27">
        <f t="shared" si="150"/>
        <v>0</v>
      </c>
      <c r="BK123" s="27">
        <f t="shared" si="150"/>
        <v>0</v>
      </c>
      <c r="BL123" s="27">
        <f t="shared" si="150"/>
        <v>0</v>
      </c>
      <c r="BM123" s="27">
        <f t="shared" si="150"/>
        <v>0</v>
      </c>
      <c r="BN123" s="27">
        <f t="shared" si="150"/>
        <v>0</v>
      </c>
      <c r="BO123" s="27">
        <f t="shared" si="150"/>
        <v>0</v>
      </c>
      <c r="BP123" s="27">
        <f t="shared" si="150"/>
        <v>0</v>
      </c>
      <c r="BQ123" s="27"/>
      <c r="BR123" s="27"/>
      <c r="BS123" s="27">
        <f t="shared" si="151"/>
        <v>0</v>
      </c>
      <c r="BT123" s="27">
        <f t="shared" si="152"/>
        <v>0</v>
      </c>
      <c r="BU123" s="29">
        <f t="shared" si="114"/>
        <v>0.56530914705882351</v>
      </c>
      <c r="BV123" s="27">
        <f t="shared" si="140"/>
        <v>57661533</v>
      </c>
      <c r="BW123" s="27"/>
      <c r="BX123" s="27"/>
      <c r="BY123" s="27"/>
      <c r="BZ123" s="27"/>
      <c r="CA123" s="27">
        <v>57661533</v>
      </c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9">
        <f t="shared" si="116"/>
        <v>0.43469085294117649</v>
      </c>
      <c r="CR123" s="27">
        <f t="shared" si="141"/>
        <v>44338467</v>
      </c>
      <c r="CS123" s="27">
        <f t="shared" si="153"/>
        <v>0</v>
      </c>
      <c r="CT123" s="27">
        <f t="shared" si="153"/>
        <v>0</v>
      </c>
      <c r="CU123" s="27">
        <f t="shared" si="153"/>
        <v>0</v>
      </c>
      <c r="CV123" s="27">
        <f t="shared" si="153"/>
        <v>0</v>
      </c>
      <c r="CW123" s="27">
        <f t="shared" si="153"/>
        <v>44338467</v>
      </c>
      <c r="CX123" s="27">
        <f t="shared" si="153"/>
        <v>0</v>
      </c>
      <c r="CY123" s="27">
        <f t="shared" si="153"/>
        <v>0</v>
      </c>
      <c r="CZ123" s="27">
        <f t="shared" si="154"/>
        <v>0</v>
      </c>
      <c r="DA123" s="27">
        <f t="shared" si="154"/>
        <v>0</v>
      </c>
      <c r="DB123" s="27">
        <f t="shared" si="154"/>
        <v>0</v>
      </c>
      <c r="DC123" s="27">
        <f t="shared" si="155"/>
        <v>0</v>
      </c>
      <c r="DD123" s="27">
        <f t="shared" si="155"/>
        <v>0</v>
      </c>
      <c r="DE123" s="27">
        <f t="shared" si="155"/>
        <v>0</v>
      </c>
      <c r="DF123" s="27">
        <f t="shared" si="156"/>
        <v>0</v>
      </c>
      <c r="DG123" s="27">
        <f t="shared" si="156"/>
        <v>0</v>
      </c>
      <c r="DH123" s="27">
        <f t="shared" si="156"/>
        <v>0</v>
      </c>
      <c r="DI123" s="27"/>
      <c r="DJ123" s="27">
        <f t="shared" si="157"/>
        <v>0</v>
      </c>
      <c r="DK123" s="27">
        <f t="shared" si="157"/>
        <v>0</v>
      </c>
      <c r="DL123" s="27">
        <f t="shared" si="157"/>
        <v>0</v>
      </c>
      <c r="DN123" s="193"/>
      <c r="DO123" s="193"/>
      <c r="DP123" s="193"/>
      <c r="DQ123" s="193"/>
      <c r="DR123" s="193"/>
    </row>
    <row r="124" spans="1:123" ht="30" hidden="1" x14ac:dyDescent="0.25">
      <c r="A124" s="236"/>
      <c r="B124" s="231"/>
      <c r="C124" s="75" t="s">
        <v>341</v>
      </c>
      <c r="D124" s="24" t="s">
        <v>342</v>
      </c>
      <c r="E124" s="98">
        <v>510</v>
      </c>
      <c r="F124" s="26" t="s">
        <v>338</v>
      </c>
      <c r="G124" s="27">
        <f t="shared" si="147"/>
        <v>10000000</v>
      </c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>
        <v>10000000</v>
      </c>
      <c r="U124" s="27"/>
      <c r="V124" s="27"/>
      <c r="W124" s="27"/>
      <c r="X124" s="27"/>
      <c r="Y124" s="27"/>
      <c r="Z124" s="27"/>
      <c r="AA124" s="27"/>
      <c r="AC124" s="29">
        <f t="shared" si="105"/>
        <v>0</v>
      </c>
      <c r="AD124" s="27">
        <f t="shared" si="133"/>
        <v>0</v>
      </c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9">
        <f t="shared" si="107"/>
        <v>1</v>
      </c>
      <c r="AZ124" s="27">
        <f t="shared" si="134"/>
        <v>10000000</v>
      </c>
      <c r="BA124" s="27">
        <f t="shared" si="148"/>
        <v>0</v>
      </c>
      <c r="BB124" s="27">
        <f t="shared" si="149"/>
        <v>0</v>
      </c>
      <c r="BC124" s="27">
        <f t="shared" si="149"/>
        <v>0</v>
      </c>
      <c r="BD124" s="27">
        <f t="shared" si="149"/>
        <v>0</v>
      </c>
      <c r="BE124" s="27">
        <f t="shared" si="150"/>
        <v>0</v>
      </c>
      <c r="BF124" s="27">
        <f t="shared" si="150"/>
        <v>0</v>
      </c>
      <c r="BG124" s="27">
        <f t="shared" si="150"/>
        <v>0</v>
      </c>
      <c r="BH124" s="27">
        <f t="shared" si="150"/>
        <v>0</v>
      </c>
      <c r="BI124" s="27">
        <f t="shared" si="150"/>
        <v>0</v>
      </c>
      <c r="BJ124" s="27">
        <f t="shared" si="150"/>
        <v>0</v>
      </c>
      <c r="BK124" s="27">
        <f t="shared" si="150"/>
        <v>0</v>
      </c>
      <c r="BL124" s="27">
        <f t="shared" si="150"/>
        <v>0</v>
      </c>
      <c r="BM124" s="27">
        <f t="shared" si="150"/>
        <v>10000000</v>
      </c>
      <c r="BN124" s="27">
        <f t="shared" si="150"/>
        <v>0</v>
      </c>
      <c r="BO124" s="27">
        <f t="shared" si="150"/>
        <v>0</v>
      </c>
      <c r="BP124" s="27">
        <f t="shared" si="150"/>
        <v>0</v>
      </c>
      <c r="BQ124" s="27"/>
      <c r="BR124" s="27"/>
      <c r="BS124" s="27">
        <f t="shared" si="151"/>
        <v>0</v>
      </c>
      <c r="BT124" s="27">
        <f t="shared" si="152"/>
        <v>0</v>
      </c>
      <c r="BU124" s="29">
        <f t="shared" si="114"/>
        <v>0</v>
      </c>
      <c r="BV124" s="27">
        <f t="shared" si="140"/>
        <v>0</v>
      </c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9">
        <f t="shared" si="116"/>
        <v>1</v>
      </c>
      <c r="CR124" s="27">
        <f t="shared" si="141"/>
        <v>10000000</v>
      </c>
      <c r="CS124" s="27">
        <f t="shared" si="153"/>
        <v>0</v>
      </c>
      <c r="CT124" s="27">
        <f t="shared" si="153"/>
        <v>0</v>
      </c>
      <c r="CU124" s="27">
        <f t="shared" si="153"/>
        <v>0</v>
      </c>
      <c r="CV124" s="27">
        <f t="shared" si="153"/>
        <v>0</v>
      </c>
      <c r="CW124" s="27">
        <f t="shared" si="153"/>
        <v>0</v>
      </c>
      <c r="CX124" s="27">
        <f t="shared" si="153"/>
        <v>0</v>
      </c>
      <c r="CY124" s="27">
        <f t="shared" si="153"/>
        <v>0</v>
      </c>
      <c r="CZ124" s="27">
        <f t="shared" si="154"/>
        <v>0</v>
      </c>
      <c r="DA124" s="27">
        <f t="shared" si="154"/>
        <v>0</v>
      </c>
      <c r="DB124" s="27">
        <f t="shared" si="154"/>
        <v>0</v>
      </c>
      <c r="DC124" s="27">
        <f t="shared" si="155"/>
        <v>0</v>
      </c>
      <c r="DD124" s="27">
        <f t="shared" si="155"/>
        <v>0</v>
      </c>
      <c r="DE124" s="27">
        <f t="shared" si="155"/>
        <v>10000000</v>
      </c>
      <c r="DF124" s="27">
        <f t="shared" si="156"/>
        <v>0</v>
      </c>
      <c r="DG124" s="27">
        <f t="shared" si="156"/>
        <v>0</v>
      </c>
      <c r="DH124" s="27">
        <f t="shared" si="156"/>
        <v>0</v>
      </c>
      <c r="DI124" s="27"/>
      <c r="DJ124" s="27">
        <f t="shared" si="157"/>
        <v>0</v>
      </c>
      <c r="DK124" s="27">
        <f t="shared" si="157"/>
        <v>0</v>
      </c>
      <c r="DL124" s="27">
        <f t="shared" si="157"/>
        <v>0</v>
      </c>
      <c r="DN124" s="193"/>
      <c r="DO124" s="193"/>
      <c r="DP124" s="193"/>
      <c r="DQ124" s="193"/>
      <c r="DR124" s="193"/>
    </row>
    <row r="125" spans="1:123" ht="30.75" hidden="1" customHeight="1" x14ac:dyDescent="0.25">
      <c r="A125" s="236"/>
      <c r="B125" s="95" t="s">
        <v>343</v>
      </c>
      <c r="C125" s="75" t="s">
        <v>344</v>
      </c>
      <c r="D125" s="24" t="s">
        <v>345</v>
      </c>
      <c r="E125" s="98">
        <v>510</v>
      </c>
      <c r="F125" s="26" t="s">
        <v>338</v>
      </c>
      <c r="G125" s="27">
        <f t="shared" si="147"/>
        <v>80000000</v>
      </c>
      <c r="H125" s="27"/>
      <c r="I125" s="27"/>
      <c r="J125" s="27"/>
      <c r="K125" s="27"/>
      <c r="L125" s="27">
        <v>80000000</v>
      </c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C125" s="29">
        <f t="shared" si="105"/>
        <v>1</v>
      </c>
      <c r="AD125" s="27">
        <f t="shared" si="133"/>
        <v>80000000</v>
      </c>
      <c r="AE125" s="27"/>
      <c r="AF125" s="27"/>
      <c r="AG125" s="27"/>
      <c r="AH125" s="27"/>
      <c r="AI125" s="27">
        <f>+'[5]ENERO 2016'!$O$625</f>
        <v>80000000</v>
      </c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9">
        <f t="shared" si="107"/>
        <v>0</v>
      </c>
      <c r="AZ125" s="27">
        <f t="shared" si="134"/>
        <v>0</v>
      </c>
      <c r="BA125" s="27">
        <f t="shared" si="148"/>
        <v>0</v>
      </c>
      <c r="BB125" s="27">
        <f t="shared" si="149"/>
        <v>0</v>
      </c>
      <c r="BC125" s="27">
        <f t="shared" si="149"/>
        <v>0</v>
      </c>
      <c r="BD125" s="27">
        <f t="shared" si="149"/>
        <v>0</v>
      </c>
      <c r="BE125" s="27">
        <f t="shared" si="150"/>
        <v>0</v>
      </c>
      <c r="BF125" s="27">
        <f t="shared" si="150"/>
        <v>0</v>
      </c>
      <c r="BG125" s="27">
        <f t="shared" si="150"/>
        <v>0</v>
      </c>
      <c r="BH125" s="27">
        <f t="shared" si="150"/>
        <v>0</v>
      </c>
      <c r="BI125" s="27">
        <f t="shared" si="150"/>
        <v>0</v>
      </c>
      <c r="BJ125" s="27">
        <f t="shared" si="150"/>
        <v>0</v>
      </c>
      <c r="BK125" s="27">
        <f t="shared" si="150"/>
        <v>0</v>
      </c>
      <c r="BL125" s="27">
        <f t="shared" si="150"/>
        <v>0</v>
      </c>
      <c r="BM125" s="27">
        <f t="shared" si="150"/>
        <v>0</v>
      </c>
      <c r="BN125" s="27">
        <f t="shared" si="150"/>
        <v>0</v>
      </c>
      <c r="BO125" s="27">
        <f t="shared" si="150"/>
        <v>0</v>
      </c>
      <c r="BP125" s="27">
        <f t="shared" si="150"/>
        <v>0</v>
      </c>
      <c r="BQ125" s="27"/>
      <c r="BR125" s="27"/>
      <c r="BS125" s="27">
        <f t="shared" si="151"/>
        <v>0</v>
      </c>
      <c r="BT125" s="27">
        <f t="shared" si="152"/>
        <v>0</v>
      </c>
      <c r="BU125" s="29">
        <f t="shared" si="114"/>
        <v>0.97971187500000001</v>
      </c>
      <c r="BV125" s="27">
        <f t="shared" si="140"/>
        <v>78376950</v>
      </c>
      <c r="BW125" s="27"/>
      <c r="BX125" s="27"/>
      <c r="BY125" s="27"/>
      <c r="BZ125" s="27"/>
      <c r="CA125" s="27">
        <f>+'[7]MARZO 2016 ULTIMO'!$H$1027</f>
        <v>78376950</v>
      </c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9">
        <f t="shared" si="116"/>
        <v>2.028812499999999E-2</v>
      </c>
      <c r="CR125" s="27">
        <f t="shared" si="141"/>
        <v>1623050</v>
      </c>
      <c r="CS125" s="27">
        <f t="shared" si="153"/>
        <v>0</v>
      </c>
      <c r="CT125" s="27">
        <f t="shared" si="153"/>
        <v>0</v>
      </c>
      <c r="CU125" s="27">
        <f t="shared" si="153"/>
        <v>0</v>
      </c>
      <c r="CV125" s="27">
        <f t="shared" si="153"/>
        <v>0</v>
      </c>
      <c r="CW125" s="27">
        <f t="shared" si="153"/>
        <v>1623050</v>
      </c>
      <c r="CX125" s="27">
        <f t="shared" si="153"/>
        <v>0</v>
      </c>
      <c r="CY125" s="27">
        <f t="shared" si="153"/>
        <v>0</v>
      </c>
      <c r="CZ125" s="27">
        <f t="shared" si="154"/>
        <v>0</v>
      </c>
      <c r="DA125" s="27">
        <f t="shared" si="154"/>
        <v>0</v>
      </c>
      <c r="DB125" s="27">
        <f t="shared" si="154"/>
        <v>0</v>
      </c>
      <c r="DC125" s="27">
        <f t="shared" si="155"/>
        <v>0</v>
      </c>
      <c r="DD125" s="27">
        <f t="shared" si="155"/>
        <v>0</v>
      </c>
      <c r="DE125" s="27">
        <f t="shared" si="155"/>
        <v>0</v>
      </c>
      <c r="DF125" s="27">
        <f t="shared" si="156"/>
        <v>0</v>
      </c>
      <c r="DG125" s="27">
        <f t="shared" si="156"/>
        <v>0</v>
      </c>
      <c r="DH125" s="27">
        <f t="shared" si="156"/>
        <v>0</v>
      </c>
      <c r="DI125" s="27"/>
      <c r="DJ125" s="27">
        <f t="shared" si="157"/>
        <v>0</v>
      </c>
      <c r="DK125" s="27">
        <f t="shared" si="157"/>
        <v>0</v>
      </c>
      <c r="DL125" s="27">
        <f t="shared" si="157"/>
        <v>0</v>
      </c>
      <c r="DN125" s="193"/>
      <c r="DO125" s="193"/>
      <c r="DP125" s="193"/>
      <c r="DQ125" s="193"/>
      <c r="DR125" s="193"/>
    </row>
    <row r="126" spans="1:123" ht="34.5" hidden="1" customHeight="1" x14ac:dyDescent="0.25">
      <c r="A126" s="236"/>
      <c r="B126" s="95" t="s">
        <v>346</v>
      </c>
      <c r="C126" s="75" t="s">
        <v>347</v>
      </c>
      <c r="D126" s="24" t="s">
        <v>348</v>
      </c>
      <c r="E126" s="98">
        <v>510</v>
      </c>
      <c r="F126" s="26" t="s">
        <v>349</v>
      </c>
      <c r="G126" s="27">
        <f t="shared" si="147"/>
        <v>110000000</v>
      </c>
      <c r="H126" s="27"/>
      <c r="I126" s="27"/>
      <c r="J126" s="27"/>
      <c r="K126" s="27"/>
      <c r="L126" s="27">
        <v>110000000</v>
      </c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C126" s="29">
        <f t="shared" si="105"/>
        <v>0.87053905454545455</v>
      </c>
      <c r="AD126" s="27">
        <f t="shared" si="133"/>
        <v>95759296</v>
      </c>
      <c r="AE126" s="27"/>
      <c r="AF126" s="27"/>
      <c r="AG126" s="27"/>
      <c r="AH126" s="27"/>
      <c r="AI126" s="27">
        <f>+'[1]JUNIO 2016'!$O$1713</f>
        <v>95759296</v>
      </c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9">
        <f t="shared" si="107"/>
        <v>0.12946094545454545</v>
      </c>
      <c r="AZ126" s="27">
        <f t="shared" si="134"/>
        <v>14240704</v>
      </c>
      <c r="BA126" s="27">
        <f t="shared" si="148"/>
        <v>0</v>
      </c>
      <c r="BB126" s="27">
        <f t="shared" si="149"/>
        <v>0</v>
      </c>
      <c r="BC126" s="27">
        <f t="shared" si="149"/>
        <v>0</v>
      </c>
      <c r="BD126" s="27">
        <f t="shared" si="149"/>
        <v>0</v>
      </c>
      <c r="BE126" s="27">
        <f t="shared" si="150"/>
        <v>14240704</v>
      </c>
      <c r="BF126" s="27">
        <f t="shared" si="150"/>
        <v>0</v>
      </c>
      <c r="BG126" s="27">
        <f t="shared" si="150"/>
        <v>0</v>
      </c>
      <c r="BH126" s="27">
        <f t="shared" si="150"/>
        <v>0</v>
      </c>
      <c r="BI126" s="27">
        <f t="shared" si="150"/>
        <v>0</v>
      </c>
      <c r="BJ126" s="27">
        <f t="shared" si="150"/>
        <v>0</v>
      </c>
      <c r="BK126" s="27">
        <f t="shared" si="150"/>
        <v>0</v>
      </c>
      <c r="BL126" s="27">
        <f t="shared" si="150"/>
        <v>0</v>
      </c>
      <c r="BM126" s="27">
        <f t="shared" si="150"/>
        <v>0</v>
      </c>
      <c r="BN126" s="27">
        <f t="shared" si="150"/>
        <v>0</v>
      </c>
      <c r="BO126" s="27">
        <f t="shared" si="150"/>
        <v>0</v>
      </c>
      <c r="BP126" s="27">
        <f t="shared" si="150"/>
        <v>0</v>
      </c>
      <c r="BQ126" s="27"/>
      <c r="BR126" s="27"/>
      <c r="BS126" s="27">
        <f t="shared" si="151"/>
        <v>0</v>
      </c>
      <c r="BT126" s="27">
        <f t="shared" si="152"/>
        <v>0</v>
      </c>
      <c r="BU126" s="29">
        <f t="shared" si="114"/>
        <v>0.77678147272727271</v>
      </c>
      <c r="BV126" s="27">
        <f t="shared" si="140"/>
        <v>85445962</v>
      </c>
      <c r="BW126" s="27"/>
      <c r="BX126" s="27"/>
      <c r="BY126" s="27"/>
      <c r="BZ126" s="27"/>
      <c r="CA126" s="27">
        <f>+'[4]ABRIL 2016'!$H$1301</f>
        <v>85445962</v>
      </c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9">
        <f t="shared" si="116"/>
        <v>0.22321852727272729</v>
      </c>
      <c r="CR126" s="27">
        <f t="shared" si="141"/>
        <v>24554038</v>
      </c>
      <c r="CS126" s="27">
        <f t="shared" si="153"/>
        <v>0</v>
      </c>
      <c r="CT126" s="27">
        <f t="shared" si="153"/>
        <v>0</v>
      </c>
      <c r="CU126" s="27">
        <f t="shared" si="153"/>
        <v>0</v>
      </c>
      <c r="CV126" s="27">
        <f t="shared" si="153"/>
        <v>0</v>
      </c>
      <c r="CW126" s="27">
        <f t="shared" si="153"/>
        <v>24554038</v>
      </c>
      <c r="CX126" s="27">
        <f t="shared" si="153"/>
        <v>0</v>
      </c>
      <c r="CY126" s="27">
        <f t="shared" si="153"/>
        <v>0</v>
      </c>
      <c r="CZ126" s="27">
        <f t="shared" si="154"/>
        <v>0</v>
      </c>
      <c r="DA126" s="27">
        <f t="shared" si="154"/>
        <v>0</v>
      </c>
      <c r="DB126" s="27">
        <f t="shared" si="154"/>
        <v>0</v>
      </c>
      <c r="DC126" s="27">
        <f t="shared" si="155"/>
        <v>0</v>
      </c>
      <c r="DD126" s="27">
        <f t="shared" si="155"/>
        <v>0</v>
      </c>
      <c r="DE126" s="27">
        <f t="shared" si="155"/>
        <v>0</v>
      </c>
      <c r="DF126" s="27">
        <f t="shared" si="156"/>
        <v>0</v>
      </c>
      <c r="DG126" s="27">
        <f t="shared" si="156"/>
        <v>0</v>
      </c>
      <c r="DH126" s="27">
        <f t="shared" si="156"/>
        <v>0</v>
      </c>
      <c r="DI126" s="27"/>
      <c r="DJ126" s="27">
        <f t="shared" si="157"/>
        <v>0</v>
      </c>
      <c r="DK126" s="27">
        <f t="shared" si="157"/>
        <v>0</v>
      </c>
      <c r="DL126" s="27">
        <f t="shared" si="157"/>
        <v>0</v>
      </c>
      <c r="DN126" s="193"/>
      <c r="DO126" s="193"/>
      <c r="DP126" s="193"/>
      <c r="DQ126" s="193"/>
      <c r="DR126" s="193"/>
    </row>
    <row r="127" spans="1:123" ht="40.5" hidden="1" customHeight="1" x14ac:dyDescent="0.25">
      <c r="A127" s="237"/>
      <c r="B127" s="95" t="s">
        <v>350</v>
      </c>
      <c r="C127" s="75" t="s">
        <v>351</v>
      </c>
      <c r="D127" s="24" t="s">
        <v>352</v>
      </c>
      <c r="E127" s="98">
        <v>310</v>
      </c>
      <c r="F127" s="26" t="s">
        <v>353</v>
      </c>
      <c r="G127" s="27">
        <f t="shared" si="147"/>
        <v>270168096</v>
      </c>
      <c r="H127" s="27"/>
      <c r="I127" s="27"/>
      <c r="J127" s="27"/>
      <c r="K127" s="27"/>
      <c r="L127" s="27">
        <v>243168096</v>
      </c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>
        <f>25000000+2000000</f>
        <v>27000000</v>
      </c>
      <c r="AC127" s="29">
        <f t="shared" si="105"/>
        <v>0.49921914910337895</v>
      </c>
      <c r="AD127" s="27">
        <f t="shared" si="133"/>
        <v>134873087</v>
      </c>
      <c r="AE127" s="27"/>
      <c r="AF127" s="27"/>
      <c r="AG127" s="27"/>
      <c r="AH127" s="27"/>
      <c r="AI127" s="27">
        <f>+'[1]JUNIO 2016'!$O$407</f>
        <v>134003087</v>
      </c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>
        <f>+'[1]JUNIO 2016'!$AG$407</f>
        <v>870000</v>
      </c>
      <c r="AY127" s="29">
        <f t="shared" si="107"/>
        <v>0.50078085089662105</v>
      </c>
      <c r="AZ127" s="27">
        <f t="shared" si="134"/>
        <v>135295009</v>
      </c>
      <c r="BA127" s="27">
        <f t="shared" si="148"/>
        <v>0</v>
      </c>
      <c r="BB127" s="27">
        <f t="shared" si="149"/>
        <v>0</v>
      </c>
      <c r="BC127" s="27">
        <f t="shared" si="149"/>
        <v>0</v>
      </c>
      <c r="BD127" s="27">
        <f t="shared" si="149"/>
        <v>0</v>
      </c>
      <c r="BE127" s="27">
        <f t="shared" si="150"/>
        <v>109165009</v>
      </c>
      <c r="BF127" s="27">
        <f t="shared" si="150"/>
        <v>0</v>
      </c>
      <c r="BG127" s="27">
        <f t="shared" si="150"/>
        <v>0</v>
      </c>
      <c r="BH127" s="27">
        <f t="shared" si="150"/>
        <v>0</v>
      </c>
      <c r="BI127" s="27">
        <f t="shared" si="150"/>
        <v>0</v>
      </c>
      <c r="BJ127" s="27">
        <f t="shared" si="150"/>
        <v>0</v>
      </c>
      <c r="BK127" s="27">
        <f t="shared" si="150"/>
        <v>0</v>
      </c>
      <c r="BL127" s="27">
        <f t="shared" si="150"/>
        <v>0</v>
      </c>
      <c r="BM127" s="27">
        <f t="shared" si="150"/>
        <v>0</v>
      </c>
      <c r="BN127" s="27">
        <f t="shared" si="150"/>
        <v>0</v>
      </c>
      <c r="BO127" s="27">
        <f t="shared" si="150"/>
        <v>0</v>
      </c>
      <c r="BP127" s="27">
        <f t="shared" si="150"/>
        <v>0</v>
      </c>
      <c r="BQ127" s="27"/>
      <c r="BR127" s="27"/>
      <c r="BS127" s="27">
        <f t="shared" si="151"/>
        <v>0</v>
      </c>
      <c r="BT127" s="27">
        <f t="shared" si="152"/>
        <v>26130000</v>
      </c>
      <c r="BU127" s="29">
        <f t="shared" si="114"/>
        <v>0.20637504511265461</v>
      </c>
      <c r="BV127" s="27">
        <f t="shared" si="140"/>
        <v>55755953</v>
      </c>
      <c r="BW127" s="27"/>
      <c r="BX127" s="27"/>
      <c r="BY127" s="27"/>
      <c r="BZ127" s="27"/>
      <c r="CA127" s="27">
        <f>+'[1]JUNIO 2016'!$H$405-'[1]JUNIO 2016'!$AG$407</f>
        <v>54885953</v>
      </c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>
        <f>+'[1]JUNIO 2016'!$H$439</f>
        <v>870000</v>
      </c>
      <c r="CQ127" s="29">
        <f t="shared" si="116"/>
        <v>0.79362495488734541</v>
      </c>
      <c r="CR127" s="27">
        <f t="shared" si="141"/>
        <v>214412143</v>
      </c>
      <c r="CS127" s="27">
        <f t="shared" si="153"/>
        <v>0</v>
      </c>
      <c r="CT127" s="27">
        <f t="shared" si="153"/>
        <v>0</v>
      </c>
      <c r="CU127" s="27">
        <f t="shared" si="153"/>
        <v>0</v>
      </c>
      <c r="CV127" s="27">
        <f t="shared" si="153"/>
        <v>0</v>
      </c>
      <c r="CW127" s="27">
        <f t="shared" si="153"/>
        <v>188282143</v>
      </c>
      <c r="CX127" s="27">
        <f t="shared" si="153"/>
        <v>0</v>
      </c>
      <c r="CY127" s="27">
        <f t="shared" si="153"/>
        <v>0</v>
      </c>
      <c r="CZ127" s="27">
        <f t="shared" si="154"/>
        <v>0</v>
      </c>
      <c r="DA127" s="27">
        <f t="shared" si="154"/>
        <v>0</v>
      </c>
      <c r="DB127" s="27">
        <f t="shared" si="154"/>
        <v>0</v>
      </c>
      <c r="DC127" s="27">
        <f t="shared" si="155"/>
        <v>0</v>
      </c>
      <c r="DD127" s="27">
        <f t="shared" si="155"/>
        <v>0</v>
      </c>
      <c r="DE127" s="27">
        <f t="shared" si="155"/>
        <v>0</v>
      </c>
      <c r="DF127" s="27">
        <f t="shared" si="156"/>
        <v>0</v>
      </c>
      <c r="DG127" s="27">
        <f t="shared" si="156"/>
        <v>0</v>
      </c>
      <c r="DH127" s="27">
        <f t="shared" si="156"/>
        <v>0</v>
      </c>
      <c r="DI127" s="27"/>
      <c r="DJ127" s="27">
        <f t="shared" si="157"/>
        <v>0</v>
      </c>
      <c r="DK127" s="27">
        <f t="shared" si="157"/>
        <v>0</v>
      </c>
      <c r="DL127" s="27">
        <f t="shared" si="157"/>
        <v>26130000</v>
      </c>
      <c r="DN127" s="193"/>
      <c r="DO127" s="193"/>
      <c r="DP127" s="193"/>
      <c r="DQ127" s="193"/>
      <c r="DR127" s="193"/>
    </row>
    <row r="128" spans="1:123" s="50" customFormat="1" ht="18.75" customHeight="1" thickTop="1" thickBot="1" x14ac:dyDescent="0.3">
      <c r="A128" s="102"/>
      <c r="B128" s="274" t="s">
        <v>382</v>
      </c>
      <c r="C128" s="275"/>
      <c r="D128" s="275"/>
      <c r="E128" s="103"/>
      <c r="F128" s="104"/>
      <c r="G128" s="68">
        <f t="shared" ref="G128:AA128" si="158">SUM(G109:G127)</f>
        <v>12163347921</v>
      </c>
      <c r="H128" s="68">
        <f t="shared" si="158"/>
        <v>0</v>
      </c>
      <c r="I128" s="68">
        <f t="shared" si="158"/>
        <v>0</v>
      </c>
      <c r="J128" s="68">
        <f t="shared" si="158"/>
        <v>6845738942</v>
      </c>
      <c r="K128" s="68">
        <f t="shared" si="158"/>
        <v>171003327</v>
      </c>
      <c r="L128" s="68">
        <f t="shared" si="158"/>
        <v>630168096</v>
      </c>
      <c r="M128" s="68">
        <f t="shared" si="158"/>
        <v>0</v>
      </c>
      <c r="N128" s="68">
        <f t="shared" si="158"/>
        <v>54387</v>
      </c>
      <c r="O128" s="68">
        <f t="shared" si="158"/>
        <v>30665828</v>
      </c>
      <c r="P128" s="68">
        <f t="shared" si="158"/>
        <v>1940856</v>
      </c>
      <c r="Q128" s="68">
        <f t="shared" si="158"/>
        <v>3438802</v>
      </c>
      <c r="R128" s="68">
        <f t="shared" si="158"/>
        <v>345941457</v>
      </c>
      <c r="S128" s="68">
        <f t="shared" si="158"/>
        <v>0</v>
      </c>
      <c r="T128" s="68">
        <f t="shared" si="158"/>
        <v>390000000</v>
      </c>
      <c r="U128" s="68">
        <f t="shared" si="158"/>
        <v>485000000</v>
      </c>
      <c r="V128" s="68">
        <f t="shared" si="158"/>
        <v>0</v>
      </c>
      <c r="W128" s="68">
        <f t="shared" si="158"/>
        <v>0</v>
      </c>
      <c r="X128" s="68">
        <f t="shared" si="158"/>
        <v>0</v>
      </c>
      <c r="Y128" s="68">
        <f t="shared" si="158"/>
        <v>2700000000</v>
      </c>
      <c r="Z128" s="68">
        <f t="shared" si="158"/>
        <v>0</v>
      </c>
      <c r="AA128" s="68">
        <f t="shared" si="158"/>
        <v>559396226</v>
      </c>
      <c r="AC128" s="46">
        <f t="shared" si="105"/>
        <v>0.64293375802384067</v>
      </c>
      <c r="AD128" s="68">
        <f>SUM(AD109:AD127)</f>
        <v>7820226989</v>
      </c>
      <c r="AE128" s="68"/>
      <c r="AF128" s="68">
        <f t="shared" ref="AF128:AX128" si="159">SUM(AF109:AF127)</f>
        <v>0</v>
      </c>
      <c r="AG128" s="68">
        <f t="shared" si="159"/>
        <v>3620876862</v>
      </c>
      <c r="AH128" s="68">
        <f t="shared" si="159"/>
        <v>52220600</v>
      </c>
      <c r="AI128" s="68">
        <f t="shared" si="159"/>
        <v>482730383</v>
      </c>
      <c r="AJ128" s="68">
        <f t="shared" si="159"/>
        <v>0</v>
      </c>
      <c r="AK128" s="68">
        <f t="shared" si="159"/>
        <v>0</v>
      </c>
      <c r="AL128" s="68">
        <f t="shared" si="159"/>
        <v>0</v>
      </c>
      <c r="AM128" s="68">
        <f t="shared" si="159"/>
        <v>0</v>
      </c>
      <c r="AN128" s="68">
        <f t="shared" si="159"/>
        <v>0</v>
      </c>
      <c r="AO128" s="68">
        <f t="shared" si="159"/>
        <v>164856575</v>
      </c>
      <c r="AP128" s="68">
        <f t="shared" si="159"/>
        <v>0</v>
      </c>
      <c r="AQ128" s="68">
        <f t="shared" si="159"/>
        <v>250000000</v>
      </c>
      <c r="AR128" s="68">
        <f t="shared" si="159"/>
        <v>485000000</v>
      </c>
      <c r="AS128" s="68">
        <f t="shared" si="159"/>
        <v>0</v>
      </c>
      <c r="AT128" s="68">
        <f t="shared" si="159"/>
        <v>0</v>
      </c>
      <c r="AU128" s="68">
        <f t="shared" si="159"/>
        <v>0</v>
      </c>
      <c r="AV128" s="68">
        <f t="shared" si="159"/>
        <v>2700000000</v>
      </c>
      <c r="AW128" s="68">
        <f t="shared" si="159"/>
        <v>0</v>
      </c>
      <c r="AX128" s="68">
        <f t="shared" si="159"/>
        <v>64542569</v>
      </c>
      <c r="AY128" s="46">
        <f t="shared" si="107"/>
        <v>0.35706624197615933</v>
      </c>
      <c r="AZ128" s="68">
        <f>SUM(AZ109:AZ127)</f>
        <v>4343120932</v>
      </c>
      <c r="BA128" s="68"/>
      <c r="BB128" s="68">
        <f t="shared" ref="BB128:BT128" si="160">SUM(BB109:BB127)</f>
        <v>0</v>
      </c>
      <c r="BC128" s="68">
        <f t="shared" si="160"/>
        <v>3224862080</v>
      </c>
      <c r="BD128" s="68">
        <f t="shared" si="160"/>
        <v>118782727</v>
      </c>
      <c r="BE128" s="68">
        <f t="shared" si="160"/>
        <v>147437713</v>
      </c>
      <c r="BF128" s="68">
        <f t="shared" si="160"/>
        <v>0</v>
      </c>
      <c r="BG128" s="68">
        <f t="shared" si="160"/>
        <v>54387</v>
      </c>
      <c r="BH128" s="68">
        <f t="shared" si="160"/>
        <v>30665828</v>
      </c>
      <c r="BI128" s="68">
        <f t="shared" si="160"/>
        <v>1940856</v>
      </c>
      <c r="BJ128" s="68">
        <f t="shared" si="160"/>
        <v>3438802</v>
      </c>
      <c r="BK128" s="68">
        <f t="shared" si="160"/>
        <v>181084882</v>
      </c>
      <c r="BL128" s="68">
        <f t="shared" si="160"/>
        <v>0</v>
      </c>
      <c r="BM128" s="68">
        <f t="shared" si="160"/>
        <v>140000000</v>
      </c>
      <c r="BN128" s="68">
        <f t="shared" si="160"/>
        <v>0</v>
      </c>
      <c r="BO128" s="68">
        <f t="shared" si="160"/>
        <v>0</v>
      </c>
      <c r="BP128" s="68">
        <f t="shared" si="160"/>
        <v>0</v>
      </c>
      <c r="BQ128" s="68">
        <f t="shared" si="160"/>
        <v>0</v>
      </c>
      <c r="BR128" s="68">
        <f t="shared" si="160"/>
        <v>0</v>
      </c>
      <c r="BS128" s="68">
        <f t="shared" si="160"/>
        <v>0</v>
      </c>
      <c r="BT128" s="68">
        <f t="shared" si="160"/>
        <v>494853657</v>
      </c>
      <c r="BU128" s="46">
        <f t="shared" si="114"/>
        <v>0.25117302011277393</v>
      </c>
      <c r="BV128" s="68">
        <f t="shared" ref="BV128:CL128" si="161">SUM(BV109:BV127)</f>
        <v>3055104832</v>
      </c>
      <c r="BW128" s="68">
        <f t="shared" si="161"/>
        <v>0</v>
      </c>
      <c r="BX128" s="68">
        <f t="shared" si="161"/>
        <v>0</v>
      </c>
      <c r="BY128" s="68">
        <f t="shared" si="161"/>
        <v>1607594896</v>
      </c>
      <c r="BZ128" s="68">
        <f t="shared" si="161"/>
        <v>45348340</v>
      </c>
      <c r="CA128" s="68">
        <f t="shared" si="161"/>
        <v>327913998</v>
      </c>
      <c r="CB128" s="68">
        <f t="shared" si="161"/>
        <v>0</v>
      </c>
      <c r="CC128" s="68">
        <f t="shared" si="161"/>
        <v>0</v>
      </c>
      <c r="CD128" s="68">
        <f t="shared" si="161"/>
        <v>0</v>
      </c>
      <c r="CE128" s="68">
        <f t="shared" si="161"/>
        <v>0</v>
      </c>
      <c r="CF128" s="68">
        <f t="shared" si="161"/>
        <v>0</v>
      </c>
      <c r="CG128" s="68">
        <f t="shared" si="161"/>
        <v>94856575</v>
      </c>
      <c r="CH128" s="68">
        <f t="shared" si="161"/>
        <v>0</v>
      </c>
      <c r="CI128" s="68">
        <f t="shared" si="161"/>
        <v>113924726</v>
      </c>
      <c r="CJ128" s="68">
        <f t="shared" si="161"/>
        <v>359172189</v>
      </c>
      <c r="CK128" s="68">
        <f t="shared" si="161"/>
        <v>0</v>
      </c>
      <c r="CL128" s="68">
        <f t="shared" si="161"/>
        <v>0</v>
      </c>
      <c r="CM128" s="68"/>
      <c r="CN128" s="68">
        <f>SUM(CN109:CN127)</f>
        <v>452887249</v>
      </c>
      <c r="CO128" s="68">
        <f>SUM(CO109:CO127)</f>
        <v>0</v>
      </c>
      <c r="CP128" s="68">
        <f>SUM(CP109:CP127)</f>
        <v>53406859</v>
      </c>
      <c r="CQ128" s="46">
        <f t="shared" si="116"/>
        <v>0.74882697988722602</v>
      </c>
      <c r="CR128" s="68">
        <f t="shared" ref="CR128:DL128" si="162">SUM(CR109:CR127)</f>
        <v>9108243089</v>
      </c>
      <c r="CS128" s="68">
        <f t="shared" si="162"/>
        <v>0</v>
      </c>
      <c r="CT128" s="68">
        <f t="shared" si="162"/>
        <v>0</v>
      </c>
      <c r="CU128" s="68">
        <f t="shared" si="162"/>
        <v>5238144046</v>
      </c>
      <c r="CV128" s="68">
        <f t="shared" si="162"/>
        <v>125654987</v>
      </c>
      <c r="CW128" s="68">
        <f t="shared" si="162"/>
        <v>302254098</v>
      </c>
      <c r="CX128" s="68">
        <f t="shared" si="162"/>
        <v>0</v>
      </c>
      <c r="CY128" s="68">
        <f t="shared" si="162"/>
        <v>54387</v>
      </c>
      <c r="CZ128" s="68">
        <f t="shared" si="162"/>
        <v>30665828</v>
      </c>
      <c r="DA128" s="68">
        <f t="shared" si="162"/>
        <v>1940856</v>
      </c>
      <c r="DB128" s="68">
        <f t="shared" si="162"/>
        <v>3438802</v>
      </c>
      <c r="DC128" s="68">
        <f t="shared" si="162"/>
        <v>251084882</v>
      </c>
      <c r="DD128" s="68">
        <f t="shared" si="162"/>
        <v>0</v>
      </c>
      <c r="DE128" s="68">
        <f t="shared" si="162"/>
        <v>276075274</v>
      </c>
      <c r="DF128" s="68">
        <f t="shared" si="162"/>
        <v>125827811</v>
      </c>
      <c r="DG128" s="68">
        <f t="shared" si="162"/>
        <v>0</v>
      </c>
      <c r="DH128" s="68">
        <f t="shared" si="162"/>
        <v>0</v>
      </c>
      <c r="DI128" s="68">
        <f t="shared" si="162"/>
        <v>0</v>
      </c>
      <c r="DJ128" s="68">
        <f t="shared" si="162"/>
        <v>2247112751</v>
      </c>
      <c r="DK128" s="68">
        <f t="shared" si="162"/>
        <v>0</v>
      </c>
      <c r="DL128" s="68">
        <f t="shared" si="162"/>
        <v>505989367</v>
      </c>
      <c r="DN128" s="193" t="s">
        <v>390</v>
      </c>
      <c r="DO128" s="193"/>
      <c r="DP128" s="195">
        <v>12163347921</v>
      </c>
      <c r="DQ128" s="196">
        <v>3055104832</v>
      </c>
      <c r="DR128" s="197">
        <v>0.25119999999999998</v>
      </c>
      <c r="DS128" s="189"/>
    </row>
    <row r="129" spans="3:122" ht="5.25" customHeight="1" thickTop="1" x14ac:dyDescent="0.25">
      <c r="C129" s="105"/>
      <c r="D129" s="105"/>
      <c r="E129" s="105"/>
      <c r="F129" s="105"/>
      <c r="G129" s="106"/>
      <c r="H129" s="106"/>
      <c r="I129" s="106"/>
      <c r="J129" s="107"/>
      <c r="K129" s="106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C129" s="109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109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109"/>
      <c r="BV129" s="110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109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N129" s="193"/>
      <c r="DO129" s="193"/>
      <c r="DP129" s="193"/>
      <c r="DQ129" s="193"/>
      <c r="DR129" s="193"/>
    </row>
    <row r="130" spans="3:122" ht="19.5" customHeight="1" x14ac:dyDescent="0.25">
      <c r="C130" s="253" t="s">
        <v>355</v>
      </c>
      <c r="D130" s="254"/>
      <c r="E130" s="255"/>
      <c r="F130" s="111"/>
      <c r="G130" s="54">
        <f t="shared" ref="G130:AA130" si="163">G20+G58+G91+G108+G128</f>
        <v>22003591449</v>
      </c>
      <c r="H130" s="54">
        <f t="shared" si="163"/>
        <v>0</v>
      </c>
      <c r="I130" s="54">
        <f t="shared" si="163"/>
        <v>200000000</v>
      </c>
      <c r="J130" s="54">
        <f t="shared" si="163"/>
        <v>8727003733</v>
      </c>
      <c r="K130" s="54">
        <f t="shared" si="163"/>
        <v>171003327</v>
      </c>
      <c r="L130" s="54">
        <f t="shared" si="163"/>
        <v>2601016897</v>
      </c>
      <c r="M130" s="54">
        <f t="shared" si="163"/>
        <v>138372986</v>
      </c>
      <c r="N130" s="54">
        <f t="shared" si="163"/>
        <v>54387</v>
      </c>
      <c r="O130" s="54">
        <f t="shared" si="163"/>
        <v>30665828</v>
      </c>
      <c r="P130" s="54">
        <f t="shared" si="163"/>
        <v>1940856</v>
      </c>
      <c r="Q130" s="54">
        <f t="shared" si="163"/>
        <v>3438802</v>
      </c>
      <c r="R130" s="54">
        <f t="shared" si="163"/>
        <v>345941457</v>
      </c>
      <c r="S130" s="54">
        <f t="shared" si="163"/>
        <v>1544000000</v>
      </c>
      <c r="T130" s="54">
        <f t="shared" si="163"/>
        <v>1142029623</v>
      </c>
      <c r="U130" s="54">
        <f t="shared" si="163"/>
        <v>486796640</v>
      </c>
      <c r="V130" s="54">
        <f t="shared" si="163"/>
        <v>1104833768</v>
      </c>
      <c r="W130" s="54">
        <f t="shared" si="163"/>
        <v>1262551657</v>
      </c>
      <c r="X130" s="54">
        <f t="shared" si="163"/>
        <v>11169156</v>
      </c>
      <c r="Y130" s="54">
        <f t="shared" si="163"/>
        <v>2700000000</v>
      </c>
      <c r="Z130" s="54">
        <f t="shared" si="163"/>
        <v>204741836</v>
      </c>
      <c r="AA130" s="54">
        <f t="shared" si="163"/>
        <v>1328030496</v>
      </c>
      <c r="AC130" s="112">
        <f>+AD130/G130</f>
        <v>0.67557288770127444</v>
      </c>
      <c r="AD130" s="54">
        <f>AD20+AD58+AD91+AD108+AD128</f>
        <v>14865029815</v>
      </c>
      <c r="AE130" s="54"/>
      <c r="AF130" s="54">
        <f t="shared" ref="AF130:AX130" si="164">AF20+AF58+AF91+AF108+AF128</f>
        <v>200000000</v>
      </c>
      <c r="AG130" s="54">
        <f t="shared" si="164"/>
        <v>4642173051</v>
      </c>
      <c r="AH130" s="54">
        <f t="shared" si="164"/>
        <v>52220600</v>
      </c>
      <c r="AI130" s="54">
        <f t="shared" si="164"/>
        <v>2105771040</v>
      </c>
      <c r="AJ130" s="54">
        <f t="shared" si="164"/>
        <v>38217031</v>
      </c>
      <c r="AK130" s="54">
        <f t="shared" si="164"/>
        <v>0</v>
      </c>
      <c r="AL130" s="54">
        <f t="shared" si="164"/>
        <v>0</v>
      </c>
      <c r="AM130" s="54">
        <f t="shared" si="164"/>
        <v>0</v>
      </c>
      <c r="AN130" s="54">
        <f t="shared" si="164"/>
        <v>0</v>
      </c>
      <c r="AO130" s="54">
        <f t="shared" si="164"/>
        <v>164856575</v>
      </c>
      <c r="AP130" s="54">
        <f t="shared" si="164"/>
        <v>1496388655</v>
      </c>
      <c r="AQ130" s="54">
        <f t="shared" si="164"/>
        <v>775628761</v>
      </c>
      <c r="AR130" s="54">
        <f t="shared" si="164"/>
        <v>486796640</v>
      </c>
      <c r="AS130" s="54">
        <f t="shared" si="164"/>
        <v>777589206</v>
      </c>
      <c r="AT130" s="54">
        <f t="shared" si="164"/>
        <v>822749581</v>
      </c>
      <c r="AU130" s="54">
        <f t="shared" si="164"/>
        <v>0</v>
      </c>
      <c r="AV130" s="54">
        <f t="shared" si="164"/>
        <v>2700000000</v>
      </c>
      <c r="AW130" s="54">
        <f t="shared" si="164"/>
        <v>23350298</v>
      </c>
      <c r="AX130" s="54">
        <f t="shared" si="164"/>
        <v>579288377</v>
      </c>
      <c r="AY130" s="113">
        <f>1-AC130</f>
        <v>0.32442711229872556</v>
      </c>
      <c r="AZ130" s="54">
        <f t="shared" ref="AZ130:BT130" si="165">AZ20+AZ58+AZ91+AZ108+AZ128</f>
        <v>7138561634</v>
      </c>
      <c r="BA130" s="54">
        <f t="shared" si="165"/>
        <v>0</v>
      </c>
      <c r="BB130" s="54">
        <f t="shared" si="165"/>
        <v>0</v>
      </c>
      <c r="BC130" s="54">
        <f t="shared" si="165"/>
        <v>4084830682</v>
      </c>
      <c r="BD130" s="54">
        <f t="shared" si="165"/>
        <v>118782727</v>
      </c>
      <c r="BE130" s="54">
        <f t="shared" si="165"/>
        <v>495245857</v>
      </c>
      <c r="BF130" s="54">
        <f t="shared" si="165"/>
        <v>100155955</v>
      </c>
      <c r="BG130" s="54">
        <f t="shared" si="165"/>
        <v>54387</v>
      </c>
      <c r="BH130" s="54">
        <f t="shared" si="165"/>
        <v>30665828</v>
      </c>
      <c r="BI130" s="54">
        <f t="shared" si="165"/>
        <v>1940856</v>
      </c>
      <c r="BJ130" s="54">
        <f t="shared" si="165"/>
        <v>3438802</v>
      </c>
      <c r="BK130" s="54">
        <f t="shared" si="165"/>
        <v>181084882</v>
      </c>
      <c r="BL130" s="54">
        <f t="shared" si="165"/>
        <v>47611345</v>
      </c>
      <c r="BM130" s="54">
        <f t="shared" si="165"/>
        <v>366400862</v>
      </c>
      <c r="BN130" s="54">
        <f t="shared" si="165"/>
        <v>0</v>
      </c>
      <c r="BO130" s="54">
        <f t="shared" si="165"/>
        <v>327244562</v>
      </c>
      <c r="BP130" s="54">
        <f t="shared" si="165"/>
        <v>439802076</v>
      </c>
      <c r="BQ130" s="54">
        <f t="shared" si="165"/>
        <v>11169156</v>
      </c>
      <c r="BR130" s="54">
        <f t="shared" si="165"/>
        <v>0</v>
      </c>
      <c r="BS130" s="54">
        <f t="shared" si="165"/>
        <v>181391538</v>
      </c>
      <c r="BT130" s="54">
        <f t="shared" si="165"/>
        <v>748742119</v>
      </c>
      <c r="BU130" s="113">
        <f>+BV130/G130</f>
        <v>0.39799734390169278</v>
      </c>
      <c r="BV130" s="54">
        <f t="shared" ref="BV130:CP130" si="166">BV20+BV58+BV91+BV108+BV128</f>
        <v>8757370953</v>
      </c>
      <c r="BW130" s="54">
        <f t="shared" si="166"/>
        <v>0</v>
      </c>
      <c r="BX130" s="54">
        <f t="shared" si="166"/>
        <v>192408143</v>
      </c>
      <c r="BY130" s="54">
        <f t="shared" si="166"/>
        <v>2486179502</v>
      </c>
      <c r="BZ130" s="54">
        <f t="shared" si="166"/>
        <v>45348340</v>
      </c>
      <c r="CA130" s="54">
        <f t="shared" si="166"/>
        <v>1721535991</v>
      </c>
      <c r="CB130" s="54">
        <f t="shared" si="166"/>
        <v>38217031</v>
      </c>
      <c r="CC130" s="54">
        <f t="shared" si="166"/>
        <v>0</v>
      </c>
      <c r="CD130" s="54">
        <f t="shared" si="166"/>
        <v>0</v>
      </c>
      <c r="CE130" s="54">
        <f t="shared" si="166"/>
        <v>0</v>
      </c>
      <c r="CF130" s="54">
        <f t="shared" si="166"/>
        <v>0</v>
      </c>
      <c r="CG130" s="54">
        <f t="shared" si="166"/>
        <v>94856575</v>
      </c>
      <c r="CH130" s="54">
        <f t="shared" si="166"/>
        <v>899475319</v>
      </c>
      <c r="CI130" s="54">
        <f t="shared" si="166"/>
        <v>586037877</v>
      </c>
      <c r="CJ130" s="54">
        <f t="shared" si="166"/>
        <v>360968829</v>
      </c>
      <c r="CK130" s="54">
        <f t="shared" si="166"/>
        <v>689684487</v>
      </c>
      <c r="CL130" s="54">
        <f t="shared" si="166"/>
        <v>723539805</v>
      </c>
      <c r="CM130" s="54">
        <f t="shared" si="166"/>
        <v>0</v>
      </c>
      <c r="CN130" s="54">
        <f t="shared" si="166"/>
        <v>452887249</v>
      </c>
      <c r="CO130" s="54">
        <f t="shared" si="166"/>
        <v>23350298</v>
      </c>
      <c r="CP130" s="54">
        <f t="shared" si="166"/>
        <v>442881507</v>
      </c>
      <c r="CQ130" s="29">
        <f>1-BU130</f>
        <v>0.60200265609830717</v>
      </c>
      <c r="CR130" s="54">
        <f t="shared" ref="CR130:DL130" si="167">CR20+CR58+CR91+CR108+CR128</f>
        <v>13246220496</v>
      </c>
      <c r="CS130" s="54">
        <f t="shared" si="167"/>
        <v>0</v>
      </c>
      <c r="CT130" s="54">
        <f t="shared" si="167"/>
        <v>7591857</v>
      </c>
      <c r="CU130" s="54">
        <f t="shared" si="167"/>
        <v>6240824231</v>
      </c>
      <c r="CV130" s="54">
        <f t="shared" si="167"/>
        <v>125654987</v>
      </c>
      <c r="CW130" s="54">
        <f t="shared" si="167"/>
        <v>879480906</v>
      </c>
      <c r="CX130" s="54">
        <f t="shared" si="167"/>
        <v>100155955</v>
      </c>
      <c r="CY130" s="54">
        <f t="shared" si="167"/>
        <v>54387</v>
      </c>
      <c r="CZ130" s="54">
        <f t="shared" si="167"/>
        <v>30665828</v>
      </c>
      <c r="DA130" s="54">
        <f t="shared" si="167"/>
        <v>1940856</v>
      </c>
      <c r="DB130" s="54">
        <f t="shared" si="167"/>
        <v>3438802</v>
      </c>
      <c r="DC130" s="54">
        <f t="shared" si="167"/>
        <v>251084882</v>
      </c>
      <c r="DD130" s="54">
        <f t="shared" si="167"/>
        <v>644524681</v>
      </c>
      <c r="DE130" s="54">
        <f t="shared" si="167"/>
        <v>555991746</v>
      </c>
      <c r="DF130" s="54">
        <f t="shared" si="167"/>
        <v>125827811</v>
      </c>
      <c r="DG130" s="54">
        <f t="shared" si="167"/>
        <v>415149281</v>
      </c>
      <c r="DH130" s="54">
        <f t="shared" si="167"/>
        <v>539011852</v>
      </c>
      <c r="DI130" s="54">
        <f t="shared" si="167"/>
        <v>11169156</v>
      </c>
      <c r="DJ130" s="54">
        <f t="shared" si="167"/>
        <v>2247112751</v>
      </c>
      <c r="DK130" s="54">
        <f t="shared" si="167"/>
        <v>181391538</v>
      </c>
      <c r="DL130" s="54">
        <f t="shared" si="167"/>
        <v>885148989</v>
      </c>
      <c r="DN130" s="286" t="s">
        <v>15</v>
      </c>
      <c r="DO130" s="286"/>
      <c r="DP130" s="195">
        <f>DP20+DP58+DP91+DP108+DP128</f>
        <v>22003591449</v>
      </c>
      <c r="DQ130" s="196">
        <f>DQ20+DQ58+DQ91+DQ108+DQ128</f>
        <v>8757370953</v>
      </c>
      <c r="DR130" s="197">
        <v>0.39800000000000002</v>
      </c>
    </row>
    <row r="131" spans="3:122" ht="5.25" customHeight="1" x14ac:dyDescent="0.25">
      <c r="C131" s="114"/>
      <c r="D131" s="114"/>
      <c r="E131" s="115"/>
      <c r="F131" s="115"/>
      <c r="G131" s="116"/>
      <c r="H131" s="116"/>
      <c r="I131" s="116"/>
      <c r="J131" s="117"/>
      <c r="K131" s="116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C131" s="119"/>
      <c r="AD131" s="120"/>
      <c r="AE131" s="120"/>
      <c r="AF131" s="120"/>
      <c r="AG131" s="120"/>
      <c r="AH131" s="120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9"/>
      <c r="AZ131" s="120"/>
      <c r="BA131" s="120"/>
      <c r="BB131" s="120"/>
      <c r="BC131" s="120"/>
      <c r="BD131" s="120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19"/>
      <c r="BV131" s="122"/>
      <c r="BW131" s="123"/>
      <c r="BX131" s="123"/>
      <c r="BY131" s="123"/>
      <c r="BZ131" s="123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29"/>
      <c r="CR131" s="124"/>
      <c r="CS131" s="120"/>
      <c r="CT131" s="120"/>
      <c r="CU131" s="120"/>
      <c r="CV131" s="120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N131" s="193"/>
      <c r="DO131" s="193"/>
      <c r="DP131" s="193"/>
      <c r="DQ131" s="193"/>
      <c r="DR131" s="193"/>
    </row>
    <row r="132" spans="3:122" ht="16.5" customHeight="1" x14ac:dyDescent="0.25">
      <c r="C132" s="125"/>
      <c r="D132" s="126" t="s">
        <v>356</v>
      </c>
      <c r="E132" s="119">
        <v>111</v>
      </c>
      <c r="F132" s="127"/>
      <c r="G132" s="128">
        <f>SUMIF($E$4:$E$127,"111",$G$4:$G$127)</f>
        <v>4036201186</v>
      </c>
      <c r="H132" s="128">
        <f>SUMIF($E$4:$E$127,"111",$H$4:$H$127)</f>
        <v>0</v>
      </c>
      <c r="I132" s="129">
        <f>SUMIF($E$4:$E$128,"111",$I$4:$I$128)</f>
        <v>0</v>
      </c>
      <c r="J132" s="129">
        <f>SUMIF($E$4:$E$128,"111",$J$4:$J$128)</f>
        <v>3247003733</v>
      </c>
      <c r="K132" s="128">
        <f>SUMIF($E$4:$E$127,"111",$K$4:$K$127)</f>
        <v>171003327</v>
      </c>
      <c r="L132" s="127">
        <f>SUMIF($E$4:$E$128,"111",$L$4:$L$128)</f>
        <v>0</v>
      </c>
      <c r="M132" s="127">
        <f>SUMIF($E$4:$E$127,"111",$M$4:$M$127)</f>
        <v>0</v>
      </c>
      <c r="N132" s="127">
        <f>SUMIF($E$4:$E$127,"111",$N$4:$N$127)</f>
        <v>54387</v>
      </c>
      <c r="O132" s="127">
        <f>SUMIF($E$4:$E$127,"111",$O$4:$O$127)</f>
        <v>30665828</v>
      </c>
      <c r="P132" s="127">
        <f>SUMIF($E$4:$E$127,"111",$P$4:$P$127)</f>
        <v>1940856</v>
      </c>
      <c r="Q132" s="127">
        <f>SUMIF($E$4:$E$127,"111",$Q$4:$Q$127)</f>
        <v>3438802</v>
      </c>
      <c r="R132" s="127">
        <f>SUMIF($E$4:$E$127,"111",$R$4:$R$127)</f>
        <v>250509069</v>
      </c>
      <c r="S132" s="127">
        <f>SUMIF($E$4:$E$127,"111",$S$4:$S$127)</f>
        <v>0</v>
      </c>
      <c r="T132" s="127">
        <f>SUMIF($E$4:$E$127,"111",$T$4:$T$127)</f>
        <v>0</v>
      </c>
      <c r="U132" s="127">
        <f>SUMIF($E$4:$E$127,"111",$U$4:$U$127)</f>
        <v>0</v>
      </c>
      <c r="V132" s="127">
        <f>SUMIF($E$4:$E$127,"111",$V$4:$V$127)</f>
        <v>0</v>
      </c>
      <c r="W132" s="127">
        <f>SUMIF($E$4:$E$127,"111",$W$4:$W$127)</f>
        <v>0</v>
      </c>
      <c r="X132" s="127"/>
      <c r="Y132" s="127">
        <f>SUMIF($E$4:$E$127,"111",$Y$4:$Y$127)</f>
        <v>0</v>
      </c>
      <c r="Z132" s="127">
        <f>SUMIF($E$4:$E$127,"111",$Z$4:$Z$127)</f>
        <v>0</v>
      </c>
      <c r="AA132" s="127">
        <f>SUMIF($E$4:$E$127,"111",$AA$4:$AA$127)</f>
        <v>331585184</v>
      </c>
      <c r="AC132" s="130">
        <f t="shared" ref="AC132:AC141" si="168">+AD132/G132</f>
        <v>0.51937452208062451</v>
      </c>
      <c r="AD132" s="32">
        <f t="shared" ref="AD132:AD138" si="169">SUM(AF132:AX132)</f>
        <v>2096300062</v>
      </c>
      <c r="AE132" s="128">
        <f>SUMIF($E$4:$E$127,"111",$AE$4:$AE$127)</f>
        <v>0</v>
      </c>
      <c r="AF132" s="128">
        <f>SUMIF($E$4:$E$127,"111",$AF$4:$AF$127)</f>
        <v>0</v>
      </c>
      <c r="AG132" s="128">
        <f>SUMIF($E$4:$E$127,"111",$AG$4:$AG$127)</f>
        <v>1955522887</v>
      </c>
      <c r="AH132" s="128">
        <f>SUMIF($E$4:$E$127,"111",$AH$4:$AH$127)</f>
        <v>52220600</v>
      </c>
      <c r="AI132" s="128">
        <f>SUMIF($E$4:$E$127,"111",$AI$4:$AI$127)</f>
        <v>0</v>
      </c>
      <c r="AJ132" s="128">
        <f>SUMIF($E$4:$E$127,"111",$AJ$4:$AJ$127)</f>
        <v>0</v>
      </c>
      <c r="AK132" s="128">
        <f>SUMIF($E$4:$E$127,"111",$AK$4:$AK$127)</f>
        <v>0</v>
      </c>
      <c r="AL132" s="128">
        <f>SUMIF($E$4:$E$127,"111",$AL$4:$AL$127)</f>
        <v>0</v>
      </c>
      <c r="AM132" s="128">
        <f>SUMIF($E$4:$E$127,"111",$AM$4:$AM$127)</f>
        <v>0</v>
      </c>
      <c r="AN132" s="128">
        <f>SUMIF($E$4:$E$127,"111",$AN$4:$AN$127)</f>
        <v>0</v>
      </c>
      <c r="AO132" s="128">
        <f>SUMIF($E$4:$E$127,"111",$AO$4:$AO$127)</f>
        <v>79856575</v>
      </c>
      <c r="AP132" s="128">
        <f>SUMIF($E$4:$E$127,"111",$AP$4:$AP$127)</f>
        <v>0</v>
      </c>
      <c r="AQ132" s="128">
        <f>SUMIF($E$4:$E$127,"111",$AQ$4:$AQ$127)</f>
        <v>0</v>
      </c>
      <c r="AR132" s="128">
        <f>SUMIF($E$4:$E$127,"111",$AR$4:$AR$127)</f>
        <v>0</v>
      </c>
      <c r="AS132" s="128">
        <f>SUMIF($E$4:$E$127,"111",$AS$4:$AS$127)</f>
        <v>0</v>
      </c>
      <c r="AT132" s="128">
        <f>SUMIF($E$4:$E$127,"111",$AS$4:$AS$127)</f>
        <v>0</v>
      </c>
      <c r="AU132" s="128">
        <f>SUMIF($E$4:$E$127,"111",$AU$4:$AU$127)</f>
        <v>0</v>
      </c>
      <c r="AV132" s="128">
        <f>SUMIF($E$4:$E$127,"111",$AV$4:$AV$127)</f>
        <v>0</v>
      </c>
      <c r="AW132" s="128">
        <f>SUMIF($E$4:$E$127,"111",$AW$4:$AW$127)</f>
        <v>0</v>
      </c>
      <c r="AX132" s="128">
        <f>SUMIF($E$4:$E$127,"111",$AX$4:$AX$127)</f>
        <v>8700000</v>
      </c>
      <c r="AY132" s="113">
        <f t="shared" ref="AY132:AY140" si="170">1-AC132</f>
        <v>0.48062547791937549</v>
      </c>
      <c r="AZ132" s="32">
        <f t="shared" ref="AZ132:AZ138" si="171">SUM(BA132:BT132)</f>
        <v>1939901124</v>
      </c>
      <c r="BA132" s="131">
        <f>SUMIF($E$4:$E$127,"111",$BA$4:$BA$127)</f>
        <v>0</v>
      </c>
      <c r="BB132" s="131">
        <f>SUMIF($E$4:$E$127,"111",$BB$4:$BB$127)</f>
        <v>0</v>
      </c>
      <c r="BC132" s="131">
        <f>SUMIF($E$4:$E$127,"111",$BC$4:$BC$127)</f>
        <v>1291480846</v>
      </c>
      <c r="BD132" s="131">
        <f>SUMIF($E$4:$E$127,"111",$BD$4:$BD$127)</f>
        <v>118782727</v>
      </c>
      <c r="BE132" s="131">
        <f>SUMIF($E$4:$E$127,"111",$BE$4:$BE$127)</f>
        <v>0</v>
      </c>
      <c r="BF132" s="131">
        <f>SUMIF($E$4:$E$127,"111",$BF$4:$BF$127)</f>
        <v>0</v>
      </c>
      <c r="BG132" s="131">
        <f>SUMIF($E$4:$E$127,"111",$BG$4:$BG$127)</f>
        <v>54387</v>
      </c>
      <c r="BH132" s="131">
        <f>SUMIF($E$4:$E$128,"111",$BH$4:$BH$128)</f>
        <v>30665828</v>
      </c>
      <c r="BI132" s="131">
        <f>SUMIF($E$4:$E$127,"111",$BI$4:$BI$127)</f>
        <v>1940856</v>
      </c>
      <c r="BJ132" s="131">
        <f>SUMIF($E$4:$E$127,"111",$BJ$4:$BJ$127)</f>
        <v>3438802</v>
      </c>
      <c r="BK132" s="131">
        <f>SUMIF($E$4:$E$127,"111",$BK$4:$BK$127)</f>
        <v>170652494</v>
      </c>
      <c r="BL132" s="131">
        <f>SUMIF($E$4:$E$127,"111",$BL$4:$BL$127)</f>
        <v>0</v>
      </c>
      <c r="BM132" s="131">
        <f>SUMIF($E$4:$E$127,"111",$BM$4:$BM$127)</f>
        <v>0</v>
      </c>
      <c r="BN132" s="131">
        <f>SUMIF($E$4:$E$127,"111",$BN$4:$BN$127)</f>
        <v>0</v>
      </c>
      <c r="BO132" s="131">
        <f>SUMIF($E$4:$E$127,"111",$BO$4:$BO$127)</f>
        <v>0</v>
      </c>
      <c r="BP132" s="131">
        <f>SUMIF($E$4:$E$127,"111",$BP$4:$BP$127)</f>
        <v>0</v>
      </c>
      <c r="BQ132" s="131"/>
      <c r="BR132" s="131">
        <f>SUMIF($E$4:$E$127,"111",$BR$4:$BR$127)</f>
        <v>0</v>
      </c>
      <c r="BS132" s="131">
        <f>SUMIF($E$4:$E$127,"111",$BS$4:$BS$127)</f>
        <v>0</v>
      </c>
      <c r="BT132" s="132">
        <f>SUMIF($E$4:$E$127,"111",$BT$4:$BT$127)</f>
        <v>322885184</v>
      </c>
      <c r="BU132" s="133">
        <f t="shared" ref="BU132:BU141" si="172">+BV132/G132</f>
        <v>0.19898866012572447</v>
      </c>
      <c r="BV132" s="39">
        <f t="shared" ref="BV132:BV137" si="173">SUM(BX132:CP132)</f>
        <v>803158266</v>
      </c>
      <c r="BW132" s="128">
        <f>SUMIF($E$4:$E$127,"111",$BW$4:$BW$127)</f>
        <v>0</v>
      </c>
      <c r="BX132" s="128">
        <f>SUMIF($E$4:$E$127,"111",$BX$4:$BX$127)</f>
        <v>0</v>
      </c>
      <c r="BY132" s="128">
        <f>SUMIF($E$4:$E$127,"111",$BY$4:$BY$127)</f>
        <v>675223351</v>
      </c>
      <c r="BZ132" s="128">
        <f>SUMIF($E$4:$E$127,"111",$BZ$4:$BZ$127)</f>
        <v>45348340</v>
      </c>
      <c r="CA132" s="128">
        <f>SUMIF($E$4:$E$127,"111",$CA$4:$CA$127)</f>
        <v>0</v>
      </c>
      <c r="CB132" s="128">
        <f>SUMIF($E$4:$E$127,"111",$CB$4:$CB$127)</f>
        <v>0</v>
      </c>
      <c r="CC132" s="128">
        <f>SUMIF($E$4:$E$127,"111",$CC$4:$CC$127)</f>
        <v>0</v>
      </c>
      <c r="CD132" s="128">
        <f>SUMIF($E$4:$E$127,"111",$CD$4:$CD$127)</f>
        <v>0</v>
      </c>
      <c r="CE132" s="128">
        <f>SUMIF($E$4:$E$127,"111",$CE$4:$CE$127)</f>
        <v>0</v>
      </c>
      <c r="CF132" s="128">
        <f>SUMIF($E$4:$E$127,"111",$CF$4:$CF$127)</f>
        <v>0</v>
      </c>
      <c r="CG132" s="128">
        <f>SUMIF($E$4:$E$127,"111",$CG$4:$CG$127)</f>
        <v>79856575</v>
      </c>
      <c r="CH132" s="128">
        <f>SUMIF($E$4:$E$127,"111",$CH$4:$CH$127)</f>
        <v>0</v>
      </c>
      <c r="CI132" s="128">
        <f>SUMIF($E$4:$E$127,"111",$CI$4:$CI$127)</f>
        <v>0</v>
      </c>
      <c r="CJ132" s="128">
        <f>SUMIF($E$4:$E$127,"111",$CJ$4:$CJ$127)</f>
        <v>0</v>
      </c>
      <c r="CK132" s="128">
        <f>SUMIF($E$4:$E$127,"111",$CK$4:$CK$127)</f>
        <v>0</v>
      </c>
      <c r="CL132" s="128">
        <f>SUMIF($E$4:$E$127,"111",$CL$4:$CL$127)</f>
        <v>0</v>
      </c>
      <c r="CM132" s="128">
        <f>SUMIF($E$4:$E$127,"111",$CM$4:$CM$127)</f>
        <v>0</v>
      </c>
      <c r="CN132" s="128">
        <f>SUMIF($E$4:$E$127,"111",$CN$4:$CN$127)</f>
        <v>0</v>
      </c>
      <c r="CO132" s="128">
        <f>SUMIF($E$4:$E$127,"111",$CO$4:$CO$127)</f>
        <v>0</v>
      </c>
      <c r="CP132" s="134">
        <f>SUMIF($E$4:$E$127,"111",$CP$4:$CP$127)</f>
        <v>2730000</v>
      </c>
      <c r="CQ132" s="29">
        <f t="shared" ref="CQ132:CQ141" si="174">1-BU132</f>
        <v>0.80101133987427553</v>
      </c>
      <c r="CR132" s="32">
        <f t="shared" ref="CR132:CR138" si="175">SUM(CS132:DL132)</f>
        <v>3233042920</v>
      </c>
      <c r="CS132" s="131">
        <f>SUMIF($E$4:$E$127,"111",$CS$4:$CS$127)</f>
        <v>0</v>
      </c>
      <c r="CT132" s="131">
        <f>SUMIF($E$4:$E$127,"111",$CT$4:$CT$127)</f>
        <v>0</v>
      </c>
      <c r="CU132" s="131">
        <f>SUMIF($E$4:$E$127,"111",$CU$4:$CU$127)</f>
        <v>2571780382</v>
      </c>
      <c r="CV132" s="131">
        <f>SUMIF($E$4:$E$127,"111",$CV$4:$CV$127)</f>
        <v>125654987</v>
      </c>
      <c r="CW132" s="131">
        <f>SUMIF($E$4:$E$127,"111",$CW$4:$CW$127)</f>
        <v>0</v>
      </c>
      <c r="CX132" s="131">
        <f>SUMIF($E$4:$E$127,"111",$CX$4:$CX$127)</f>
        <v>0</v>
      </c>
      <c r="CY132" s="131">
        <f>SUMIF($E$4:$E$127,"111",$CY$4:$CY$127)</f>
        <v>54387</v>
      </c>
      <c r="CZ132" s="135">
        <f>SUMIF($E$4:$E$127,"111",$CZ$4:$CZ$127)</f>
        <v>30665828</v>
      </c>
      <c r="DA132" s="135">
        <f>SUMIF($E$4:$E$127,"111",$DA$4:$DA$127)</f>
        <v>1940856</v>
      </c>
      <c r="DB132" s="135">
        <f>SUMIF($E$4:$E$127,"111",$DB$4:$DB$127)</f>
        <v>3438802</v>
      </c>
      <c r="DC132" s="135">
        <f>SUMIF($E$4:$E$127,"111",$DC$4:$DC$127)</f>
        <v>170652494</v>
      </c>
      <c r="DD132" s="135">
        <f>SUMIF($E$4:$E$127,"111",$DD$4:$DD$127)</f>
        <v>0</v>
      </c>
      <c r="DE132" s="135">
        <f>SUMIF($E$4:$E$127,"111",$DE$4:$DE$127)</f>
        <v>0</v>
      </c>
      <c r="DF132" s="135">
        <f>SUMIF($E$4:$E$127,"111",$DF$4:$DF$127)</f>
        <v>0</v>
      </c>
      <c r="DG132" s="135">
        <f>SUMIF($E$4:$E$127,"111",$DG$4:$DG$127)</f>
        <v>0</v>
      </c>
      <c r="DH132" s="135">
        <f>SUMIF($E$4:$E$127,"111",$DH$4:$DH$127)</f>
        <v>0</v>
      </c>
      <c r="DI132" s="135">
        <f>SUMIF($E$4:$E$127,"111",$DI$4:$DI$127)</f>
        <v>0</v>
      </c>
      <c r="DJ132" s="135">
        <f>SUMIF($E$4:$E$127,"111",$DJ$4:$DJ$127)</f>
        <v>0</v>
      </c>
      <c r="DK132" s="135">
        <f>SUMIF($E$4:$E$127,"111",$DK$4:$DK$127)</f>
        <v>0</v>
      </c>
      <c r="DL132" s="135">
        <f>SUMIF($E$4:$E$127,"111",$DL$4:$DL$127)</f>
        <v>328855184</v>
      </c>
      <c r="DN132" s="287" t="s">
        <v>9</v>
      </c>
      <c r="DO132" s="287"/>
      <c r="DP132" s="191" t="s">
        <v>383</v>
      </c>
      <c r="DQ132" s="191" t="s">
        <v>384</v>
      </c>
      <c r="DR132" s="192" t="s">
        <v>385</v>
      </c>
    </row>
    <row r="133" spans="3:122" ht="18" customHeight="1" x14ac:dyDescent="0.25">
      <c r="C133" s="136"/>
      <c r="D133" s="126" t="s">
        <v>357</v>
      </c>
      <c r="E133" s="119">
        <v>211</v>
      </c>
      <c r="F133" s="127"/>
      <c r="G133" s="128">
        <f>SUMIF($E$4:$E$127,"211",$G$4:$G$127)</f>
        <v>4274978639</v>
      </c>
      <c r="H133" s="128">
        <f>SUMIF($E$4:$E$127,"211",$H$4:$H$127)</f>
        <v>0</v>
      </c>
      <c r="I133" s="129">
        <f>SUMIF($E$4:$E$128,"211",$I$4:$I$128)</f>
        <v>0</v>
      </c>
      <c r="J133" s="129">
        <f>SUMIF($E$4:$E$128,"211",$J$4:$J$128)</f>
        <v>3598735209</v>
      </c>
      <c r="K133" s="128">
        <f>SUMIF($E$4:$E$127,"211",$K$4:$K$127)</f>
        <v>0</v>
      </c>
      <c r="L133" s="127">
        <f>SUMIF($E$4:$E$127,"211",$L$4:$L$127)</f>
        <v>0</v>
      </c>
      <c r="M133" s="127">
        <f>SUMIF($E$4:$E$127,"211",$M$4:$M$127)</f>
        <v>0</v>
      </c>
      <c r="N133" s="127">
        <f>SUMIF($E$4:$E$127,"211",$N$4:$N$127)</f>
        <v>0</v>
      </c>
      <c r="O133" s="127">
        <f>SUMIF($E$4:$E$127,"211",$O$4:$O$127)</f>
        <v>0</v>
      </c>
      <c r="P133" s="127">
        <f>SUMIF($E$4:$E$127,"211",$P$4:$P$127)</f>
        <v>0</v>
      </c>
      <c r="Q133" s="127">
        <f>SUMIF($E$4:$E$127,"211",$Q$4:$Q$127)</f>
        <v>0</v>
      </c>
      <c r="R133" s="127">
        <f>SUMIF($E$4:$E$127,"211",$R$4:$R$127)</f>
        <v>95432388</v>
      </c>
      <c r="S133" s="127">
        <f>SUMIF($E$4:$E$127,"211",$S$4:$S$127)</f>
        <v>0</v>
      </c>
      <c r="T133" s="127">
        <f>SUMIF($E$4:$E$127,"211",$T$4:$T$127)</f>
        <v>380000000</v>
      </c>
      <c r="U133" s="127">
        <f>SUMIF($E$4:$E$127,"211",$U$4:$U$127)</f>
        <v>0</v>
      </c>
      <c r="V133" s="127">
        <f>SUMIF($E$4:$E$127,"211",$V$4:$V$127)</f>
        <v>0</v>
      </c>
      <c r="W133" s="127">
        <f>SUMIF($E$4:$E$127,"211",$W$4:$W$127)</f>
        <v>0</v>
      </c>
      <c r="X133" s="127"/>
      <c r="Y133" s="127">
        <f>SUMIF($E$4:$E$127,"211",$Y$4:$Y$127)</f>
        <v>0</v>
      </c>
      <c r="Z133" s="127">
        <f>SUMIF($E$4:$E$127,"211",$Z$4:$Z$127)</f>
        <v>0</v>
      </c>
      <c r="AA133" s="127">
        <f>SUMIF($E$4:$E$127,"211",$AA$4:$AA$127)</f>
        <v>200811042</v>
      </c>
      <c r="AC133" s="130">
        <f t="shared" si="168"/>
        <v>0.48078054127558884</v>
      </c>
      <c r="AD133" s="32">
        <f t="shared" si="169"/>
        <v>2055326544</v>
      </c>
      <c r="AE133" s="128">
        <f>SUMIF($E$4:$E$127,"211",$AE$4:$AE$127)</f>
        <v>0</v>
      </c>
      <c r="AF133" s="128">
        <f>SUMIF($E$4:$E$127,"211",$AF$4:$AF$127)</f>
        <v>0</v>
      </c>
      <c r="AG133" s="128">
        <f>SUMIF($E$4:$E$127,"211",$AG$4:$AG$127)</f>
        <v>1665353975</v>
      </c>
      <c r="AH133" s="128">
        <f>SUMIF($E$4:$E$127,"211",$AH$4:$AH$127)</f>
        <v>0</v>
      </c>
      <c r="AI133" s="128">
        <f>SUMIF($E$4:$E$127,"211",$AI$4:$AI$127)</f>
        <v>0</v>
      </c>
      <c r="AJ133" s="128">
        <f>SUMIF($E$4:$E$127,"211",$AJ$4:$AJ$127)</f>
        <v>0</v>
      </c>
      <c r="AK133" s="128">
        <f>SUMIF($E$4:$E$127,"211",$AK$4:$AK$127)</f>
        <v>0</v>
      </c>
      <c r="AL133" s="128">
        <f>SUMIF($E$4:$E$127,"211",$AL$4:$AL$127)</f>
        <v>0</v>
      </c>
      <c r="AM133" s="128">
        <f>SUMIF($E$4:$E$127,"211",$AM$4:$AM$127)</f>
        <v>0</v>
      </c>
      <c r="AN133" s="128">
        <f>SUMIF($E$4:$E$127,"211",$AN$4:$AN$127)</f>
        <v>0</v>
      </c>
      <c r="AO133" s="128">
        <f>SUMIF($E$4:$E$127,"211",$AO$4:$AO$127)</f>
        <v>85000000</v>
      </c>
      <c r="AP133" s="128">
        <f>SUMIF($E$4:$E$127,"211",$AP$4:$AP$127)</f>
        <v>0</v>
      </c>
      <c r="AQ133" s="128">
        <f>SUMIF($E$4:$E$127,"211",$AQ$4:$AQ$127)</f>
        <v>250000000</v>
      </c>
      <c r="AR133" s="128">
        <f>SUMIF($E$4:$E$127,"211",$AR$4:$AR$127)</f>
        <v>0</v>
      </c>
      <c r="AS133" s="128">
        <f>SUMIF($E$4:$E$127,"211",$AS$4:$AS$127)</f>
        <v>0</v>
      </c>
      <c r="AT133" s="128">
        <f>SUMIF($E$4:$E$127,"211",$AT$4:$AT$127)</f>
        <v>0</v>
      </c>
      <c r="AU133" s="128">
        <f>SUMIF($E$4:$E$127,"211",$AU$4:$AU$127)</f>
        <v>0</v>
      </c>
      <c r="AV133" s="128">
        <f>SUMIF($E$4:$E$127,"211",$AV$4:$AV$127)</f>
        <v>0</v>
      </c>
      <c r="AW133" s="128">
        <f>SUMIF($E$4:$E$127,"211",$AW$4:$AW$127)</f>
        <v>0</v>
      </c>
      <c r="AX133" s="128">
        <f>SUMIF($E$4:$E$127,"211",$AX$4:$AX$127)</f>
        <v>54972569</v>
      </c>
      <c r="AY133" s="113">
        <f t="shared" si="170"/>
        <v>0.51921945872441122</v>
      </c>
      <c r="AZ133" s="32">
        <f t="shared" si="171"/>
        <v>2219652095</v>
      </c>
      <c r="BA133" s="131">
        <f>SUMIF($E$4:$E$127,"211",$BA$4:$BA$127)</f>
        <v>0</v>
      </c>
      <c r="BB133" s="131">
        <f>SUMIF($E$4:$E$127,"211",$BB$4:$BB$127)</f>
        <v>0</v>
      </c>
      <c r="BC133" s="131">
        <f>SUMIF($E$4:$E$127,"211",$BC$4:$BC$127)</f>
        <v>1933381234</v>
      </c>
      <c r="BD133" s="131">
        <f>SUMIF($E$4:$E$127,"211",$BD$4:$BD$127)</f>
        <v>0</v>
      </c>
      <c r="BE133" s="131">
        <f>SUMIF($E$4:$E$127,"211",$BE$4:$BE$127)</f>
        <v>0</v>
      </c>
      <c r="BF133" s="131">
        <f>SUMIF($E$4:$E$127,"211",$BF$4:$BF$127)</f>
        <v>0</v>
      </c>
      <c r="BG133" s="131">
        <f>SUMIF($E$4:$E$127,"211",$BG$4:$BG$127)</f>
        <v>0</v>
      </c>
      <c r="BH133" s="131">
        <f>SUMIF($E$4:$E$127,"211",$BH$4:$BH$127)</f>
        <v>0</v>
      </c>
      <c r="BI133" s="131">
        <f>SUMIF($E$4:$E$127,"211",$BI$4:$BI$127)</f>
        <v>0</v>
      </c>
      <c r="BJ133" s="131">
        <f>SUMIF($E$4:$E$127,"211",$BJ$4:$BJ$127)</f>
        <v>0</v>
      </c>
      <c r="BK133" s="131">
        <f>SUMIF($E$4:$E$127,"211",$BK$4:$BK$127)</f>
        <v>10432388</v>
      </c>
      <c r="BL133" s="131">
        <f>SUMIF($E$4:$E$127,"211",$BL$4:$BL$127)</f>
        <v>0</v>
      </c>
      <c r="BM133" s="131">
        <f>SUMIF($E$4:$E$127,"211",$BM$4:$BM$127)</f>
        <v>130000000</v>
      </c>
      <c r="BN133" s="131">
        <f>SUMIF($E$4:$E$127,"211",$BN$4:$BN$127)</f>
        <v>0</v>
      </c>
      <c r="BO133" s="131">
        <f>SUMIF($E$4:$E$127,"211",$BO$4:$BO$127)</f>
        <v>0</v>
      </c>
      <c r="BP133" s="131">
        <f>SUMIF($E$4:$E$127,"211",$BP$4:$BP$127)</f>
        <v>0</v>
      </c>
      <c r="BQ133" s="131"/>
      <c r="BR133" s="131">
        <f>SUMIF($E$4:$E$127,"211",$BR$4:$BR$127)</f>
        <v>0</v>
      </c>
      <c r="BS133" s="131">
        <f>SUMIF($E$4:$E$127,"211",$BS$4:$BS$127)</f>
        <v>0</v>
      </c>
      <c r="BT133" s="132">
        <f>SUMIF($E$4:$E$127,"211",$BT$4:$BT$127)</f>
        <v>145838473</v>
      </c>
      <c r="BU133" s="133">
        <f t="shared" si="172"/>
        <v>0.2599084636034365</v>
      </c>
      <c r="BV133" s="39">
        <f t="shared" si="173"/>
        <v>1111103130</v>
      </c>
      <c r="BW133" s="128">
        <f>SUMIF($E$4:$E$127,"211",$BW$4:$BW$127)</f>
        <v>0</v>
      </c>
      <c r="BX133" s="128">
        <f>SUMIF($E$4:$E$127,"211",$BX$4:$BX$127)</f>
        <v>0</v>
      </c>
      <c r="BY133" s="128">
        <f>SUMIF($E$4:$E$127,"211",$BY$4:$BY$127)</f>
        <v>932371545</v>
      </c>
      <c r="BZ133" s="128">
        <f>SUMIF($E$4:$E$127,"211",$BZ$4:$BZ$127)</f>
        <v>0</v>
      </c>
      <c r="CA133" s="128">
        <f>SUMIF($E$4:$E$127,"211",$CA$4:$CA$127)</f>
        <v>0</v>
      </c>
      <c r="CB133" s="128">
        <f>SUMIF($E$4:$E$127,"211",$CB$4:$CB$127)</f>
        <v>0</v>
      </c>
      <c r="CC133" s="128">
        <f>SUMIF($E$4:$E$127,"211",$CC$4:$CC$127)</f>
        <v>0</v>
      </c>
      <c r="CD133" s="128">
        <f>SUMIF($E$4:$E$127,"211",$CD$4:$CD$127)</f>
        <v>0</v>
      </c>
      <c r="CE133" s="128">
        <f>SUMIF($E$4:$E$127,"211",$CE$4:$CE$127)</f>
        <v>0</v>
      </c>
      <c r="CF133" s="128">
        <f>SUMIF($E$4:$E$127,"211",$CF$4:$CF$127)</f>
        <v>0</v>
      </c>
      <c r="CG133" s="128">
        <f>SUMIF($E$4:$E$127,"211",$CG$4:$CG$127)</f>
        <v>15000000</v>
      </c>
      <c r="CH133" s="128">
        <f>SUMIF($E$4:$E$127,"211",$CH$4:$CH$127)</f>
        <v>0</v>
      </c>
      <c r="CI133" s="128">
        <f>SUMIF($E$4:$E$127,"211",$CI$4:$CI$127)</f>
        <v>113924726</v>
      </c>
      <c r="CJ133" s="128">
        <f>SUMIF($E$4:$E$127,"211",$CJ$4:$CJ$127)</f>
        <v>0</v>
      </c>
      <c r="CK133" s="128">
        <f>SUMIF($E$4:$E$127,"211",$CK$4:$CK$127)</f>
        <v>0</v>
      </c>
      <c r="CL133" s="128">
        <f>SUMIF($E$4:$E$127,"211",$CL$4:$CL$127)</f>
        <v>0</v>
      </c>
      <c r="CM133" s="128">
        <f>SUMIF($E$4:$E$127,"211",$CM$4:$CM$127)</f>
        <v>0</v>
      </c>
      <c r="CN133" s="128">
        <f>SUMIF($E$4:$E$127,"211",$CN$4:$CN$127)</f>
        <v>0</v>
      </c>
      <c r="CO133" s="128">
        <f>SUMIF($E$4:$E$127,"211",$CO$4:$CO$127)</f>
        <v>0</v>
      </c>
      <c r="CP133" s="134">
        <f>SUMIF($E$4:$E$127,"211",$CP$4:$CP$127)</f>
        <v>49806859</v>
      </c>
      <c r="CQ133" s="29">
        <f t="shared" si="174"/>
        <v>0.74009153639656344</v>
      </c>
      <c r="CR133" s="32">
        <f t="shared" ca="1" si="175"/>
        <v>3163875509</v>
      </c>
      <c r="CS133" s="131">
        <f>SUMIF($E$4:$E$127,"211",$CS$4:$CS$127)</f>
        <v>0</v>
      </c>
      <c r="CT133" s="131">
        <f ca="1">SUMIF($E$4:$E$128,"211",$CT$4:$CT$127)</f>
        <v>0</v>
      </c>
      <c r="CU133" s="131">
        <f>SUMIF($E$4:$E$127,"211",$CU$4:$CU$127)</f>
        <v>2666363664</v>
      </c>
      <c r="CV133" s="131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5">
        <f>SUMIF($E$4:$E$127,"211",$CZ$4:$CZ$127)</f>
        <v>0</v>
      </c>
      <c r="DA133" s="135">
        <f>SUMIF($E$4:$E$127,"211",$DA$4:$DA$127)</f>
        <v>0</v>
      </c>
      <c r="DB133" s="135">
        <f>SUMIF($E$4:$E$127,"211",$DB$4:$DB$127)</f>
        <v>0</v>
      </c>
      <c r="DC133" s="135">
        <f>SUMIF($E$4:$E$127,"211",$DC$4:$DC$127)</f>
        <v>80432388</v>
      </c>
      <c r="DD133" s="135">
        <f>SUMIF($E$4:$E$127,"211",$DD$4:$DD$127)</f>
        <v>0</v>
      </c>
      <c r="DE133" s="135">
        <f>SUMIF($E$4:$E$127,"211",$DE$4:$DE$127)</f>
        <v>266075274</v>
      </c>
      <c r="DF133" s="135">
        <f>SUMIF($E$4:$E$127,"211",$DF$4:$DF$127)</f>
        <v>0</v>
      </c>
      <c r="DG133" s="135">
        <f>SUMIF($E$4:$E$127,"211",$DG$4:$DG$127)</f>
        <v>0</v>
      </c>
      <c r="DH133" s="135">
        <f>SUMIF($E$4:$E$127,"211",$DH$4:$DH$127)</f>
        <v>0</v>
      </c>
      <c r="DI133" s="135">
        <f>SUMIF($E$4:$E$127,"211",$DI$4:$DI$127)</f>
        <v>0</v>
      </c>
      <c r="DJ133" s="135">
        <f>SUMIF($E$4:$E$127,"211",$DJ$4:$DJ$127)</f>
        <v>0</v>
      </c>
      <c r="DK133" s="135">
        <f>SUMIF($E$4:$E$127,"211",$DK$4:$DK$127)</f>
        <v>0</v>
      </c>
      <c r="DL133" s="135">
        <f>SUMIF($E$4:$E$127,"211",$DL$4:$DL$127)</f>
        <v>151004183</v>
      </c>
      <c r="DN133" s="193" t="s">
        <v>391</v>
      </c>
      <c r="DO133" s="193"/>
      <c r="DP133" s="195">
        <v>4036201186</v>
      </c>
      <c r="DQ133" s="195">
        <v>803158266</v>
      </c>
      <c r="DR133" s="197">
        <v>0.19900000000000001</v>
      </c>
    </row>
    <row r="134" spans="3:122" ht="16.5" customHeight="1" x14ac:dyDescent="0.25">
      <c r="C134" s="136"/>
      <c r="D134" s="126" t="s">
        <v>358</v>
      </c>
      <c r="E134" s="119">
        <v>310</v>
      </c>
      <c r="F134" s="127"/>
      <c r="G134" s="128">
        <f>SUMIF($E$4:$E$127,"310",$G$4:$G$128)</f>
        <v>1077368096</v>
      </c>
      <c r="H134" s="128">
        <f>SUMIF($E$4:$E$127,"310",$H$4:$H$127)</f>
        <v>0</v>
      </c>
      <c r="I134" s="129">
        <f>SUMIF($E$4:$E$127,"310",$I$4:$I$127)</f>
        <v>0</v>
      </c>
      <c r="J134" s="129">
        <f>SUMIF($E$4:$E$127,"310",$J$4:$J$127)</f>
        <v>421000000</v>
      </c>
      <c r="K134" s="128">
        <f>SUMIF($E$4:$E$127,"310",$K$4:$K$127)</f>
        <v>0</v>
      </c>
      <c r="L134" s="127">
        <f>SUMIF($E$4:$E$127,"310",$L$4:$L$127)</f>
        <v>586368096</v>
      </c>
      <c r="M134" s="127">
        <f>SUMIF($E$4:$E$127,"310",$M$4:$M$127)</f>
        <v>0</v>
      </c>
      <c r="N134" s="127">
        <f>SUMIF($E$4:$E$127,"310",$N$4:$N$127)</f>
        <v>0</v>
      </c>
      <c r="O134" s="127">
        <f>SUMIF($E$4:$E$127,"310",$O$4:$O$127)</f>
        <v>0</v>
      </c>
      <c r="P134" s="127">
        <f>SUMIF($E$4:$E$127,"310",$P$4:$P$127)</f>
        <v>0</v>
      </c>
      <c r="Q134" s="127">
        <f>SUMIF($E$4:$E$127,"310",$Q$4:$Q$127)</f>
        <v>0</v>
      </c>
      <c r="R134" s="127">
        <f>SUMIF($E$4:$E$127,"310",$R$4:$R$127)</f>
        <v>0</v>
      </c>
      <c r="S134" s="127">
        <f>SUMIF($E$4:$E$127,"310",$S$4:$S$127)</f>
        <v>0</v>
      </c>
      <c r="T134" s="127">
        <f>SUMIF($E$4:$E$127,"310",$T$4:$T$127)</f>
        <v>0</v>
      </c>
      <c r="U134" s="127">
        <f>SUMIF($E$4:$E$127,"310",$U$4:$U$127)</f>
        <v>0</v>
      </c>
      <c r="V134" s="127">
        <f>SUMIF($E$4:$E$127,"310",$V$4:$V$127)</f>
        <v>0</v>
      </c>
      <c r="W134" s="127">
        <f>SUMIF($E$4:$E$119,"310",$W$4:$W$119)</f>
        <v>0</v>
      </c>
      <c r="X134" s="127"/>
      <c r="Y134" s="127">
        <f>SUMIF($E$4:$E$127,"310",$Y$4:$Y$127)</f>
        <v>0</v>
      </c>
      <c r="Z134" s="127">
        <f>SUMIF($E$4:$E$127,"310",$Z$4:$Z$127)</f>
        <v>0</v>
      </c>
      <c r="AA134" s="127">
        <f>SUMIF($E$4:$E$127,"310",$AA$4:$AA$127)</f>
        <v>70000000</v>
      </c>
      <c r="AC134" s="130">
        <f t="shared" si="168"/>
        <v>0.45021723383202911</v>
      </c>
      <c r="AD134" s="39">
        <f t="shared" si="169"/>
        <v>485049684</v>
      </c>
      <c r="AE134" s="128">
        <f>SUMIF($E$4:$E$127,"310",$AE$4:$AE$127)</f>
        <v>0</v>
      </c>
      <c r="AF134" s="128">
        <f>SUMIF($E$4:$E$127,"310",$AF$4:$AF$127)</f>
        <v>0</v>
      </c>
      <c r="AG134" s="128">
        <f>SUMIF($E$4:$E$127,"310",$AG$4:$AG$127)</f>
        <v>50285937</v>
      </c>
      <c r="AH134" s="128">
        <f>SUMIF($E$4:$E$127,"310",$AH$4:$AH$127)</f>
        <v>0</v>
      </c>
      <c r="AI134" s="128">
        <f>SUMIF($E$4:$E$127,"310",$AI$4:$AI$127)</f>
        <v>423283246</v>
      </c>
      <c r="AJ134" s="128">
        <f>SUMIF($E$4:$E$127,"310",$AJ$4:$AJ$127)</f>
        <v>0</v>
      </c>
      <c r="AK134" s="128">
        <f>SUMIF($E$4:$E$127,"310",$AK$4:$AK$127)</f>
        <v>0</v>
      </c>
      <c r="AL134" s="128">
        <f>SUMIF($E$4:$E$127,"310",$AL$4:$AL$127)</f>
        <v>0</v>
      </c>
      <c r="AM134" s="128">
        <f>SUMIF($E$4:$E$127,"310",$AM$4:$AM$127)</f>
        <v>0</v>
      </c>
      <c r="AN134" s="128">
        <f>SUMIF($E$4:$E$127,"310",$AN$4:$AN$127)</f>
        <v>0</v>
      </c>
      <c r="AO134" s="128">
        <f>SUMIF($E$4:$E$127,"310",$AO$4:$AO$127)</f>
        <v>0</v>
      </c>
      <c r="AP134" s="128">
        <f>SUMIF($E$4:$E$127,"310",$AP$4:$AP$127)</f>
        <v>0</v>
      </c>
      <c r="AQ134" s="128">
        <f>SUMIF($E$4:$E$127,"310",$AQ$4:$AQ$127)</f>
        <v>0</v>
      </c>
      <c r="AR134" s="128">
        <f>SUMIF($E$4:$E$127,"310",$AR$4:$AR$127)</f>
        <v>0</v>
      </c>
      <c r="AS134" s="128">
        <f>SUMIF($E$4:$E$127,"310",$AS$4:$AS$127)</f>
        <v>0</v>
      </c>
      <c r="AT134" s="128">
        <f>SUMIF($E$4:$E$127,"310",$AT$4:$AT$127)</f>
        <v>0</v>
      </c>
      <c r="AU134" s="128">
        <f>SUMIF($E$4:$E$127,"310",$AU$4:$AU$127)</f>
        <v>0</v>
      </c>
      <c r="AV134" s="128">
        <f>SUMIF($E$4:$E$127,"310",$AV$4:$AV$127)</f>
        <v>0</v>
      </c>
      <c r="AW134" s="128">
        <f>SUMIF($E$4:$E$127,"310",$AW$4:$AW$127)</f>
        <v>0</v>
      </c>
      <c r="AX134" s="128">
        <f>SUMIF($E$4:$E$127,"310",$AX$4:$AX$127)</f>
        <v>11480501</v>
      </c>
      <c r="AY134" s="113">
        <f t="shared" si="170"/>
        <v>0.54978276616797084</v>
      </c>
      <c r="AZ134" s="32">
        <f t="shared" si="171"/>
        <v>592318412</v>
      </c>
      <c r="BA134" s="131">
        <f>SUMIF($E$4:$E$127,"310",$BA$4:$BA$127)</f>
        <v>0</v>
      </c>
      <c r="BB134" s="131">
        <f>SUMIF($E$4:$E$127,"310",$BB$4:$BB$127)</f>
        <v>0</v>
      </c>
      <c r="BC134" s="131">
        <f>SUMIF($E$4:$E$127,"310",$BC$4:$BC$127)</f>
        <v>370714063</v>
      </c>
      <c r="BD134" s="131">
        <f>SUMIF($E$4:$E$127,"310",$BD$4:$BD$127)</f>
        <v>0</v>
      </c>
      <c r="BE134" s="131">
        <f>SUMIF($E$4:$E$127,"310",$BE$4:$BE$127)</f>
        <v>163084850</v>
      </c>
      <c r="BF134" s="131">
        <f>SUMIF($E$4:$E$127,"310",$BF$4:$BF$127)</f>
        <v>0</v>
      </c>
      <c r="BG134" s="131">
        <f>SUMIF($E$4:$E$127,"310",$BG$4:$BG$127)</f>
        <v>0</v>
      </c>
      <c r="BH134" s="131">
        <f>SUMIF($E$4:$E$127,"310",$BH$4:$BH$127)</f>
        <v>0</v>
      </c>
      <c r="BI134" s="131">
        <f>SUMIF($E$4:$E$127,"310",$BI$4:$BI$127)</f>
        <v>0</v>
      </c>
      <c r="BJ134" s="131">
        <f>SUMIF($E$4:$E$127,"310",$BJ$4:$BJ$127)</f>
        <v>0</v>
      </c>
      <c r="BK134" s="131">
        <f>SUMIF($E$4:$E$127,"310",$BK$4:$BK$127)</f>
        <v>0</v>
      </c>
      <c r="BL134" s="131">
        <f>SUMIF($E$4:$E$127,"310",$BL$4:$BL$127)</f>
        <v>0</v>
      </c>
      <c r="BM134" s="131">
        <f>SUMIF($E$4:$E$127,"310",$BM$4:$BM$127)</f>
        <v>0</v>
      </c>
      <c r="BN134" s="131">
        <f>SUMIF($E$4:$E$127,"310",$BN$4:$BN$127)</f>
        <v>0</v>
      </c>
      <c r="BO134" s="131">
        <f>SUMIF($E$4:$E$127,"310",$BO$4:$BO$127)</f>
        <v>0</v>
      </c>
      <c r="BP134" s="131">
        <f>SUMIF($E$4:$E$127,"310",$BP$4:$BP$127)</f>
        <v>0</v>
      </c>
      <c r="BQ134" s="131">
        <f>SUMIF($E$4:$E$127,"310",$BP$4:$BP$127)</f>
        <v>0</v>
      </c>
      <c r="BR134" s="131">
        <f>SUMIF($E$4:$E$127,"310",$BR$4:$BR$127)</f>
        <v>0</v>
      </c>
      <c r="BS134" s="131">
        <f>SUMIF($E$4:$E$127,"310",$BS$4:$BS$127)</f>
        <v>0</v>
      </c>
      <c r="BT134" s="132">
        <f>SUMIF($E$4:$E$127,"310",$BT$4:$BT$127)</f>
        <v>58519499</v>
      </c>
      <c r="BU134" s="133">
        <f t="shared" si="172"/>
        <v>0.27249626296711871</v>
      </c>
      <c r="BV134" s="39">
        <f t="shared" si="173"/>
        <v>293578780</v>
      </c>
      <c r="BW134" s="128">
        <f>SUMIF($E$4:$E$127,"310",$BW$4:$BW$127)</f>
        <v>0</v>
      </c>
      <c r="BX134" s="128">
        <f>SUMIF($E$4:$E$127,"310",$BX$4:$BX$127)</f>
        <v>0</v>
      </c>
      <c r="BY134" s="128">
        <f>SUMIF($E$4:$E$127,"310",$BY$4:$BY$127)</f>
        <v>50285937</v>
      </c>
      <c r="BZ134" s="128">
        <f>SUMIF($E$4:$E$127,"310",$BZ$4:$BZ$127)</f>
        <v>0</v>
      </c>
      <c r="CA134" s="128">
        <f>SUMIF($E$4:$E$127,"310",$CA$4:$CA$127)</f>
        <v>231868006</v>
      </c>
      <c r="CB134" s="128">
        <f>SUMIF($E$4:$E$127,"310",$CB$4:$CB$127)</f>
        <v>0</v>
      </c>
      <c r="CC134" s="128">
        <f>SUMIF($E$4:$E$127,"310",$CC$4:$CC$127)</f>
        <v>0</v>
      </c>
      <c r="CD134" s="128">
        <f>SUMIF($E$4:$E$127,"310",$CD$4:$CD$127)</f>
        <v>0</v>
      </c>
      <c r="CE134" s="128">
        <f>SUMIF($E$4:$E$127,"310",$CE$4:$CE$127)</f>
        <v>0</v>
      </c>
      <c r="CF134" s="128">
        <f>SUMIF($E$4:$E$127,"310",$CF$4:$CF$127)</f>
        <v>0</v>
      </c>
      <c r="CG134" s="128">
        <f>SUMIF($E$4:$E$127,"310",$CG$4:$CG$127)</f>
        <v>0</v>
      </c>
      <c r="CH134" s="128">
        <f>SUMIF($E$4:$E$127,"310",$CH$4:$CH$127)</f>
        <v>0</v>
      </c>
      <c r="CI134" s="128">
        <f>SUMIF($E$4:$E$127,"310",$CI$4:$CI$127)</f>
        <v>0</v>
      </c>
      <c r="CJ134" s="128">
        <f>SUMIF($E$4:$E$127,"310",$CJ$4:$CJ$127)</f>
        <v>0</v>
      </c>
      <c r="CK134" s="128">
        <f>SUMIF($E$4:$E$127,"310",$CK$4:$CK$127)</f>
        <v>0</v>
      </c>
      <c r="CL134" s="128">
        <f>SUMIF($E$4:$E$127,"310",$CL$4:$CL$127)</f>
        <v>0</v>
      </c>
      <c r="CM134" s="128">
        <f>SUMIF($E$4:$E$127,"310",$CM$4:$CM$127)</f>
        <v>0</v>
      </c>
      <c r="CN134" s="128">
        <f>SUMIF($E$4:$E$127,"310",$CN$4:$CN$127)</f>
        <v>0</v>
      </c>
      <c r="CO134" s="128">
        <f>SUMIF($E$4:$E$127,"310",$CO$4:$CO$127)</f>
        <v>0</v>
      </c>
      <c r="CP134" s="134">
        <f>SUMIF($E$4:$E$127,"310",$CP$4:$CP$127)</f>
        <v>11424837</v>
      </c>
      <c r="CQ134" s="29">
        <f t="shared" si="174"/>
        <v>0.72750373703288129</v>
      </c>
      <c r="CR134" s="32">
        <f t="shared" si="175"/>
        <v>783789316</v>
      </c>
      <c r="CS134" s="131">
        <f>SUMIF($E$4:$E$127,"310",$CS$4:$CS$127)</f>
        <v>0</v>
      </c>
      <c r="CT134" s="131">
        <f>SUMIF($E$4:$E$127,"310",$CT$4:$CT$127)</f>
        <v>0</v>
      </c>
      <c r="CU134" s="131">
        <f>SUMIF($E$4:$E$127,"310",$CU$4:$CU$127)</f>
        <v>370714063</v>
      </c>
      <c r="CV134" s="131">
        <f>SUMIF($E$4:$E$127,"310",$CV$4:$CV$127)</f>
        <v>0</v>
      </c>
      <c r="CW134" s="131">
        <f>SUMIF($E$4:$E$127,"310",$CW$4:$CW$127)</f>
        <v>354500090</v>
      </c>
      <c r="CX134" s="131">
        <f>SUMIF($E$4:$E$127,"310",$CX$4:$CX$127)</f>
        <v>0</v>
      </c>
      <c r="CY134" s="131">
        <f>SUMIF($E$4:$E$127,"310",$CY$4:$CY$127)</f>
        <v>0</v>
      </c>
      <c r="CZ134" s="135">
        <f>SUMIF($E$4:$E$127,"310",$CZ$4:$CZ$127)</f>
        <v>0</v>
      </c>
      <c r="DA134" s="135">
        <f>SUMIF($E$4:$E$127,"310",$DA$4:$DA$127)</f>
        <v>0</v>
      </c>
      <c r="DB134" s="135">
        <f>SUMIF($E$4:$E$127,"310",$DB$4:$DB$127)</f>
        <v>0</v>
      </c>
      <c r="DC134" s="135">
        <f>SUMIF($E$4:$E$127,"310",$DC$4:$DC$127)</f>
        <v>0</v>
      </c>
      <c r="DD134" s="135">
        <f>SUMIF($E$4:$E$127,"310",$DD$4:$DD$127)</f>
        <v>0</v>
      </c>
      <c r="DE134" s="135">
        <f>SUMIF($E$4:$E$127,"310",$DE$4:$DE$127)</f>
        <v>0</v>
      </c>
      <c r="DF134" s="135">
        <f>SUMIF($E$4:$E$127,"310",$DF$4:$DF$127)</f>
        <v>0</v>
      </c>
      <c r="DG134" s="135">
        <f>SUMIF($E$4:$E$127,"310",$DG$4:$DG$127)</f>
        <v>0</v>
      </c>
      <c r="DH134" s="135">
        <f>SUMIF($E$4:$E$127,"310",$DH$4:$DH$127)</f>
        <v>0</v>
      </c>
      <c r="DI134" s="135">
        <f>SUMIF($E$4:$E$127,"310",$DI$4:$DI$127)</f>
        <v>0</v>
      </c>
      <c r="DJ134" s="135">
        <f>SUMIF($E$4:$E$127,"310",$DJ$4:$DJ$127)</f>
        <v>0</v>
      </c>
      <c r="DK134" s="135">
        <f>SUMIF($E$4:$E$127,"310",$DK$4:$DK$127)</f>
        <v>0</v>
      </c>
      <c r="DL134" s="135">
        <f>SUMIF($E$4:$E$127,"310",$DL$4:$DL$127)</f>
        <v>58575163</v>
      </c>
      <c r="DN134" s="288" t="s">
        <v>392</v>
      </c>
      <c r="DO134" s="288"/>
      <c r="DP134" s="195">
        <v>4274978639</v>
      </c>
      <c r="DQ134" s="195">
        <v>1111103130</v>
      </c>
      <c r="DR134" s="197">
        <v>0.25990000000000002</v>
      </c>
    </row>
    <row r="135" spans="3:122" x14ac:dyDescent="0.25">
      <c r="C135" s="137"/>
      <c r="D135" s="126" t="s">
        <v>359</v>
      </c>
      <c r="E135" s="119">
        <v>410</v>
      </c>
      <c r="F135" s="127"/>
      <c r="G135" s="128">
        <f>SUMIF($E$4:$E$127,"410",$G$4:$G$127)</f>
        <v>4334106780</v>
      </c>
      <c r="H135" s="128">
        <f>SUMIF($E$4:$E$127,"410",$H$4:$H$127)</f>
        <v>0</v>
      </c>
      <c r="I135" s="129">
        <f>SUMIF($E$4:$E$127,"410",$I$4:$I$127)</f>
        <v>0</v>
      </c>
      <c r="J135" s="129">
        <f>SUMIF($E$4:$E$128,"410",$J$4:$J$128)</f>
        <v>1163096695</v>
      </c>
      <c r="K135" s="128">
        <f>SUMIF($E$4:$E$127,"410",$K$4:$K$127)</f>
        <v>0</v>
      </c>
      <c r="L135" s="127">
        <f>SUMIF($E$4:$E$127,"410",$L$4:$L$127)</f>
        <v>0</v>
      </c>
      <c r="M135" s="127">
        <f>SUMIF($E$4:$E$127,"410",$M$4:$M$127)</f>
        <v>74368590</v>
      </c>
      <c r="N135" s="127">
        <f>SUMIF($E$4:$E$127,"410",$N$4:$N$127)</f>
        <v>0</v>
      </c>
      <c r="O135" s="127">
        <f>SUMIF($E$4:$E$127,"410",$O$4:$O$127)</f>
        <v>0</v>
      </c>
      <c r="P135" s="127">
        <f>SUMIF($E$4:$E$127,"410",$P$4:$P$127)</f>
        <v>0</v>
      </c>
      <c r="Q135" s="127">
        <f>SUMIF($E$4:$E$127,"410",$Q$4:$Q$127)</f>
        <v>0</v>
      </c>
      <c r="R135" s="127">
        <f>SUMIF($E$4:$E$127,"410",$R$4:$R$127)</f>
        <v>0</v>
      </c>
      <c r="S135" s="127">
        <f>SUMIF($E$4:$E$127,"410",$S$4:$S$127)</f>
        <v>1344000000</v>
      </c>
      <c r="T135" s="127">
        <f>SUMIF($E$4:$E$127,"410",$T$4:$T$127)</f>
        <v>387696735</v>
      </c>
      <c r="U135" s="127">
        <f>SUMIF($E$4:$E$127,"410",$U$4:$U$127)</f>
        <v>0</v>
      </c>
      <c r="V135" s="127">
        <f>SUMIF($E$4:$E$119,"410",$V$4:$V$119)</f>
        <v>1054833768</v>
      </c>
      <c r="W135" s="127">
        <f>SUMIF($E$4:$E$119,"410",$W$4:$W$119)</f>
        <v>0</v>
      </c>
      <c r="X135" s="127">
        <f>SUMIF($E$4:$E$127,"410",$X$4:$X$127)</f>
        <v>11169156</v>
      </c>
      <c r="Y135" s="127">
        <f>SUMIF($E$4:$E$127,"410",$Y$4:$Y$127)</f>
        <v>0</v>
      </c>
      <c r="Z135" s="127">
        <f>SUMIF($E$4:$E$127,"410",$Z$4:$Z$127)</f>
        <v>204741836</v>
      </c>
      <c r="AA135" s="127">
        <f>SUMIF($E$4:$E$127,"410",$AA$4:$AA$127)</f>
        <v>94200000</v>
      </c>
      <c r="AC135" s="130">
        <f t="shared" si="168"/>
        <v>0.70007118052592143</v>
      </c>
      <c r="AD135" s="32">
        <f t="shared" si="169"/>
        <v>3034183250</v>
      </c>
      <c r="AE135" s="128">
        <f>SUMIF($E$4:$E$127,"410",$AE$4:$AE$127)</f>
        <v>0</v>
      </c>
      <c r="AF135" s="128">
        <f>SUMIF($E$4:$E$127,"410",$AF$4:$AF$127)</f>
        <v>0</v>
      </c>
      <c r="AG135" s="128">
        <f>SUMIF($E$4:$E$127,"410",$AG$4:$AG$127)</f>
        <v>702842156</v>
      </c>
      <c r="AH135" s="128">
        <f>SUMIF($E$4:$E$127,"410",$AH$4:$AH$127)</f>
        <v>0</v>
      </c>
      <c r="AI135" s="128">
        <f>SUMIF($E$4:$E$127,"410",$AI$4:$AI$127)</f>
        <v>0</v>
      </c>
      <c r="AJ135" s="128">
        <f>SUMIF($E$4:$E$127,"410",$AJ$4:$AJ$127)</f>
        <v>0</v>
      </c>
      <c r="AK135" s="128">
        <f>SUMIF($E$4:$E$127,"410",$AK$4:$AK$127)</f>
        <v>0</v>
      </c>
      <c r="AL135" s="128">
        <f>SUMIF($E$4:$E$127,"410",$AL$4:$AL$127)</f>
        <v>0</v>
      </c>
      <c r="AM135" s="128">
        <f>SUMIF($E$4:$E$127,"410",$AM$4:$AM$127)</f>
        <v>0</v>
      </c>
      <c r="AN135" s="128">
        <f>SUMIF($E$4:$E$127,"410",$AN$4:$AN$127)</f>
        <v>0</v>
      </c>
      <c r="AO135" s="128">
        <f>SUMIF($E$4:$E$127,"410",$AO$4:$AO$127)</f>
        <v>0</v>
      </c>
      <c r="AP135" s="128">
        <f>SUMIF($E$4:$E$127,"410",$AP$4:$AP$127)</f>
        <v>1300000000</v>
      </c>
      <c r="AQ135" s="128">
        <f>SUMIF($E$4:$E$127,"410",$AQ$4:$AQ$127)</f>
        <v>216735177</v>
      </c>
      <c r="AR135" s="128">
        <f>SUMIF($E$4:$E$127,"410",$AR$4:$AR$127)</f>
        <v>0</v>
      </c>
      <c r="AS135" s="128">
        <f>SUMIF($E$4:$E$127,"410",$AS$4:$AS$127)</f>
        <v>747530233</v>
      </c>
      <c r="AT135" s="128">
        <f>SUMIF($E$4:$E$127,"410",$AT$4:$AT$127)</f>
        <v>0</v>
      </c>
      <c r="AU135" s="128">
        <f>SUMIF($E$4:$E$127,"410",$AU$4:$AU$127)</f>
        <v>0</v>
      </c>
      <c r="AV135" s="128">
        <f>SUMIF($E$4:$E$127,"410",$AV$4:$AV$127)</f>
        <v>0</v>
      </c>
      <c r="AW135" s="128">
        <f>SUMIF($E$4:$E$127,"410",$AW$4:$AW$127)</f>
        <v>23350298</v>
      </c>
      <c r="AX135" s="128">
        <f>SUMIF($E$4:$E$127,"410",$AX$4:$AX$127)</f>
        <v>43725386</v>
      </c>
      <c r="AY135" s="113">
        <f t="shared" si="170"/>
        <v>0.29992881947407857</v>
      </c>
      <c r="AZ135" s="32">
        <f t="shared" si="171"/>
        <v>1299923530</v>
      </c>
      <c r="BA135" s="131">
        <f>SUMIF($E$4:$E$127,"410",$BA$4:$BA$127)</f>
        <v>0</v>
      </c>
      <c r="BB135" s="131">
        <f>SUMIF($E$4:$E$127,"410",$BB$4:$BB$127)</f>
        <v>0</v>
      </c>
      <c r="BC135" s="131">
        <f>SUMIF($E$4:$E$127,"410",$BC$4:$BC$127)</f>
        <v>460254539</v>
      </c>
      <c r="BD135" s="131">
        <f>SUMIF($E$4:$E$127,"410",$BD$4:$BD$127)</f>
        <v>0</v>
      </c>
      <c r="BE135" s="131">
        <f>SUMIF($E$4:$E$127,"410",$BE$4:$BE$127)</f>
        <v>0</v>
      </c>
      <c r="BF135" s="131">
        <f>SUMIF($E$4:$E$127,"410",$BF$4:$BF$127)</f>
        <v>74368590</v>
      </c>
      <c r="BG135" s="131">
        <f>SUMIF($E$4:$E$127,"410",$BG$4:$BG$127)</f>
        <v>0</v>
      </c>
      <c r="BH135" s="131">
        <f>SUMIF($E$4:$E$127,"410",$BH$4:$BH$127)</f>
        <v>0</v>
      </c>
      <c r="BI135" s="131">
        <f>SUMIF($E$4:$E$127,"410",$BI$4:$BI$127)</f>
        <v>0</v>
      </c>
      <c r="BJ135" s="131">
        <f>SUMIF($E$4:$E$127,"410",$BJ$4:$BJ$127)</f>
        <v>0</v>
      </c>
      <c r="BK135" s="131">
        <f>SUMIF($E$4:$E$127,"410",$BK$4:$BK$127)</f>
        <v>0</v>
      </c>
      <c r="BL135" s="131">
        <f>SUMIF($E$4:$E$127,"410",$BL$4:$BL$127)</f>
        <v>44000000</v>
      </c>
      <c r="BM135" s="131">
        <f>SUMIF($E$4:$E$127,"410",$BM$4:$BM$127)</f>
        <v>170961558</v>
      </c>
      <c r="BN135" s="131">
        <f>SUMIF($E$4:$E$127,"410",$BN$4:$BN$127)</f>
        <v>0</v>
      </c>
      <c r="BO135" s="131">
        <f>SUMIF($E$4:$E$127,"410",$BO$4:$BO$127)</f>
        <v>307303535</v>
      </c>
      <c r="BP135" s="131">
        <f>SUMIF($E$4:$E$127,"510",$BP$4:$BP$127)</f>
        <v>0</v>
      </c>
      <c r="BQ135" s="131">
        <f>SUMIF($E$4:$E$127,"410",$BQ$4:$BQ$127)</f>
        <v>11169156</v>
      </c>
      <c r="BR135" s="131">
        <f>SUMIF($E$4:$E$127,"410",$BR$4:$BR$127)</f>
        <v>0</v>
      </c>
      <c r="BS135" s="131">
        <f>SUMIF($E$4:$E$127,"410",$BS$4:$BS$127)</f>
        <v>181391538</v>
      </c>
      <c r="BT135" s="132">
        <f>SUMIF($E$4:$E$127,"410",$BT$4:$BT$127)</f>
        <v>50474614</v>
      </c>
      <c r="BU135" s="133">
        <f t="shared" si="172"/>
        <v>0.5147910419041406</v>
      </c>
      <c r="BV135" s="32">
        <f t="shared" si="173"/>
        <v>2231159345</v>
      </c>
      <c r="BW135" s="128">
        <f>SUMIF($E$4:$E$127,"410",$BW$4:$BW$127)</f>
        <v>0</v>
      </c>
      <c r="BX135" s="128">
        <f>SUMIF($E$4:$E$127,"410",$BX$4:$BX$127)</f>
        <v>0</v>
      </c>
      <c r="BY135" s="128">
        <f>SUMIF($E$4:$E$127,"410",$BY$4:$BY$127)</f>
        <v>560130573</v>
      </c>
      <c r="BZ135" s="128">
        <f>SUMIF($E$4:$E$127,"410",$BZ$4:$BZ$127)</f>
        <v>0</v>
      </c>
      <c r="CA135" s="128">
        <f>SUMIF($E$4:$E$127,"410",$CA$4:$CA$127)</f>
        <v>0</v>
      </c>
      <c r="CB135" s="128">
        <f>SUMIF($E$4:$E$127,"410",$CB$4:$CB$127)</f>
        <v>0</v>
      </c>
      <c r="CC135" s="128">
        <f>SUMIF($E$4:$E$127,"410",$CC$4:$CC$127)</f>
        <v>0</v>
      </c>
      <c r="CD135" s="128">
        <f>SUMIF($E$4:$E$127,"410",$CD$4:$CD$127)</f>
        <v>0</v>
      </c>
      <c r="CE135" s="128">
        <f>SUMIF($E$4:$E$127,"410",$CE$4:$CE$127)</f>
        <v>0</v>
      </c>
      <c r="CF135" s="128">
        <f>SUMIF($E$4:$E$127,"410",$CF$4:$CF$127)</f>
        <v>0</v>
      </c>
      <c r="CG135" s="128">
        <f>SUMIF($E$4:$E$127,"410",$CG$4:$CG$127)</f>
        <v>0</v>
      </c>
      <c r="CH135" s="128">
        <f>SUMIF($E$4:$E$127,"410",$CH$4:$CH$127)</f>
        <v>736592397</v>
      </c>
      <c r="CI135" s="128">
        <f>SUMIF($E$4:$E$127,"410",$CI$4:$CI$127)</f>
        <v>216735177</v>
      </c>
      <c r="CJ135" s="128">
        <f>SUMIF($E$4:$E$127,"410",$CJ$4:$CJ$127)</f>
        <v>0</v>
      </c>
      <c r="CK135" s="128">
        <f>SUMIF($E$4:$E$127,"410",$CK$4:$CK$127)</f>
        <v>659625514</v>
      </c>
      <c r="CL135" s="128">
        <f>SUMIF($E$4:$E$127,"410",$CL$4:$CL$127)</f>
        <v>0</v>
      </c>
      <c r="CM135" s="128">
        <f>SUMIF($E$4:$E$127,"410",$CM$4:$CM$127)</f>
        <v>0</v>
      </c>
      <c r="CN135" s="128">
        <f>SUMIF($E$4:$E$127,"410",$CN$4:$CN$127)</f>
        <v>0</v>
      </c>
      <c r="CO135" s="128">
        <f>SUMIF($E$4:$E$127,"410",$CO$4:$CO$127)</f>
        <v>23350298</v>
      </c>
      <c r="CP135" s="134">
        <f>SUMIF($E$4:$E$127,"410",$CP$4:$CP$127)</f>
        <v>34725386</v>
      </c>
      <c r="CQ135" s="29">
        <f t="shared" si="174"/>
        <v>0.4852089580958594</v>
      </c>
      <c r="CR135" s="32">
        <f t="shared" si="175"/>
        <v>2102947435</v>
      </c>
      <c r="CS135" s="131">
        <f>SUMIF($E$4:$E$127,"410",$CS$4:$CS$127)</f>
        <v>0</v>
      </c>
      <c r="CT135" s="131">
        <f>SUMIF($E$4:$E$127,"410",$CT$4:$CT$127)</f>
        <v>0</v>
      </c>
      <c r="CU135" s="131">
        <f>SUMIF($E$4:$E$127,"410",$CU$4:$CU$127)</f>
        <v>602966122</v>
      </c>
      <c r="CV135" s="131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74368590</v>
      </c>
      <c r="CY135" s="131">
        <f>SUMIF($E$4:$E$127,"410",$CY$4:$CY$127)</f>
        <v>0</v>
      </c>
      <c r="CZ135" s="135">
        <f>SUMIF($E$4:$E$127,"410",$CZ$4:$CZ$127)</f>
        <v>0</v>
      </c>
      <c r="DA135" s="135">
        <f>SUMIF($E$4:$E$127,"410",$DA$4:$DA$127)</f>
        <v>0</v>
      </c>
      <c r="DB135" s="135">
        <f>SUMIF($E$4:$E$127,"410",$DB$4:$DB$127)</f>
        <v>0</v>
      </c>
      <c r="DC135" s="135">
        <f>SUMIF($E$4:$E$127,"410",$DC$4:$DC$127)</f>
        <v>0</v>
      </c>
      <c r="DD135" s="135">
        <f>SUMIF($E$4:$E$127,"410",$DD$4:$DD$127)</f>
        <v>607407603</v>
      </c>
      <c r="DE135" s="135">
        <f>SUMIF($E$4:$E$127,"410",$DE$4:$DE$127)</f>
        <v>170961558</v>
      </c>
      <c r="DF135" s="135">
        <f>SUMIF($E$4:$E$127,"410",$DF$4:$DF$127)</f>
        <v>0</v>
      </c>
      <c r="DG135" s="135">
        <f>SUMIF($E$4:$E$127,"410",$DG$4:$DG$127)</f>
        <v>395208254</v>
      </c>
      <c r="DH135" s="135">
        <f>SUMIF($E$4:$E$127,"410",$DH$4:$DH$127)</f>
        <v>0</v>
      </c>
      <c r="DI135" s="135">
        <f>SUMIF($E$4:$E$127,"410",$DI$4:$DI$127)</f>
        <v>11169156</v>
      </c>
      <c r="DJ135" s="135">
        <f>SUMIF($E$4:$E$127,"410",$DJ$4:$DJ$127)</f>
        <v>0</v>
      </c>
      <c r="DK135" s="135">
        <f>SUMIF($E$4:$E$127,"410",$DK$4:$DK$127)</f>
        <v>181391538</v>
      </c>
      <c r="DL135" s="135">
        <f>SUMIF($E$4:$E$127,"410",$DL$4:$DL$127)</f>
        <v>59474614</v>
      </c>
      <c r="DN135" s="193" t="s">
        <v>358</v>
      </c>
      <c r="DO135" s="193"/>
      <c r="DP135" s="195">
        <v>1077368096</v>
      </c>
      <c r="DQ135" s="195">
        <v>293578780</v>
      </c>
      <c r="DR135" s="197">
        <v>0.27250000000000002</v>
      </c>
    </row>
    <row r="136" spans="3:122" ht="14.25" customHeight="1" x14ac:dyDescent="0.25">
      <c r="C136" s="137"/>
      <c r="D136" s="138" t="s">
        <v>360</v>
      </c>
      <c r="E136" s="119">
        <v>510</v>
      </c>
      <c r="F136" s="127"/>
      <c r="G136" s="128">
        <f>SUMIF($E$4:$E$127,"510",$G$4:$G$127)</f>
        <v>971030977</v>
      </c>
      <c r="H136" s="128">
        <f>SUMIF($E$4:$E$127,"510",$H$4:$H$127)</f>
        <v>0</v>
      </c>
      <c r="I136" s="129">
        <f>SUMIF($E$4:$E$127,"510",$I$4:$I$127)</f>
        <v>0</v>
      </c>
      <c r="J136" s="129">
        <f>SUMIF($E$4:$E$128,"510",$J$4:$J$128)</f>
        <v>29000000</v>
      </c>
      <c r="K136" s="128">
        <f>SUMIF($E$4:$E$127,"510",$K$4:$K$127)</f>
        <v>0</v>
      </c>
      <c r="L136" s="127">
        <f>SUMIF($E$4:$E$127,"510",$L$4:$L$127)</f>
        <v>793368554</v>
      </c>
      <c r="M136" s="127">
        <f>SUMIF($E$4:$E$127,"510",$M$4:$M$127)</f>
        <v>14004396</v>
      </c>
      <c r="N136" s="127">
        <f>SUMIF($E$4:$E$127,"510",$N$4:$N$127)</f>
        <v>0</v>
      </c>
      <c r="O136" s="127">
        <f>SUMIF($E$4:$E$127,"510",$O$4:$O$127)</f>
        <v>0</v>
      </c>
      <c r="P136" s="127">
        <f>SUMIF($E$4:$E$127,"510",$P$4:$P$127)</f>
        <v>0</v>
      </c>
      <c r="Q136" s="127">
        <f>SUMIF($E$4:$E$127,"510",$Q$4:$Q$127)</f>
        <v>0</v>
      </c>
      <c r="R136" s="127">
        <f>SUMIF($E$4:$E$127,"510",$R$4:$R$127)</f>
        <v>0</v>
      </c>
      <c r="S136" s="127">
        <f>SUMIF($E$4:$E$127,"510",$S$4:$S$127)</f>
        <v>0</v>
      </c>
      <c r="T136" s="127">
        <f>SUMIF($E$4:$E$127,"510",$T$4:$T$127)</f>
        <v>40431446</v>
      </c>
      <c r="U136" s="127">
        <f>SUMIF($E$4:$E$127,"510",$U$4:$U$127)</f>
        <v>1796640</v>
      </c>
      <c r="V136" s="127">
        <f>SUMIF($E$4:$E$127,"510",$V$4:$V$127)</f>
        <v>0</v>
      </c>
      <c r="W136" s="127">
        <f>SUMIF($E$4:$E$119,"510",$W$4:$W$119)</f>
        <v>0</v>
      </c>
      <c r="X136" s="127"/>
      <c r="Y136" s="127">
        <f>SUMIF($E$4:$E$127,"510",$Y$4:$Y$127)</f>
        <v>0</v>
      </c>
      <c r="Z136" s="127">
        <f>SUMIF($E$4:$E$127,"510",$Z$4:$Z$127)</f>
        <v>0</v>
      </c>
      <c r="AA136" s="127">
        <f>SUMIF($E$4:$E$127,"510",$AA$4:$AA$127)</f>
        <v>92429941</v>
      </c>
      <c r="AC136" s="130">
        <f t="shared" si="168"/>
        <v>0.80964366804129262</v>
      </c>
      <c r="AD136" s="32">
        <f t="shared" si="169"/>
        <v>786189082</v>
      </c>
      <c r="AE136" s="128">
        <f>SUMIF($E$4:$E$127,"510",$AE$4:$AE$127)</f>
        <v>0</v>
      </c>
      <c r="AF136" s="128">
        <f>SUMIF($E$4:$E$127,"510",$AF$4:$AF$127)</f>
        <v>0</v>
      </c>
      <c r="AG136" s="128">
        <f>SUMIF($E$4:$E$127,"510",$AG$4:$AG$127)</f>
        <v>0</v>
      </c>
      <c r="AH136" s="128">
        <f>SUMIF($E$4:$E$127,"510",$AH$4:$AH$127)</f>
        <v>0</v>
      </c>
      <c r="AI136" s="128">
        <f>SUMIF($E$4:$E$127,"510",$AI$4:$AI$127)</f>
        <v>699069074</v>
      </c>
      <c r="AJ136" s="128">
        <f>SUMIF($E$4:$E$127,"510",$AJ$4:$AJ$127)</f>
        <v>14004396</v>
      </c>
      <c r="AK136" s="128">
        <f>SUMIF($E$4:$E$127,"510",$AK$4:$AK$127)</f>
        <v>0</v>
      </c>
      <c r="AL136" s="128">
        <f>SUMIF($E$4:$E$127,"510",$AL$4:$AL$127)</f>
        <v>0</v>
      </c>
      <c r="AM136" s="128">
        <f>SUMIF($E$4:$E$127,"510",$AM$4:$AM$127)</f>
        <v>0</v>
      </c>
      <c r="AN136" s="128">
        <f>SUMIF($E$4:$E$127,"510",$AN$4:$AN$127)</f>
        <v>0</v>
      </c>
      <c r="AO136" s="128">
        <f>SUMIF($E$4:$E$127,"510",$AO$4:$AO$127)</f>
        <v>0</v>
      </c>
      <c r="AP136" s="128">
        <f>SUMIF($E$4:$E$127,"510",$AP$4:$AP$127)</f>
        <v>0</v>
      </c>
      <c r="AQ136" s="128">
        <f>SUMIF($E$4:$E$127,"510",$AQ$4:$AQ$127)</f>
        <v>22867435</v>
      </c>
      <c r="AR136" s="128">
        <f>SUMIF($E$4:$E$127,"510",$AR$4:$AR$127)</f>
        <v>1796640</v>
      </c>
      <c r="AS136" s="128">
        <f>SUMIF($E$4:$E$127,"510",$AS$4:$AS$127)</f>
        <v>0</v>
      </c>
      <c r="AT136" s="128">
        <f>SUMIF($E$4:$E$127,"510",$AT$4:$AT$127)</f>
        <v>0</v>
      </c>
      <c r="AU136" s="128">
        <f>SUMIF($E$4:$E$127,"510",$AU$4:$AU$127)</f>
        <v>0</v>
      </c>
      <c r="AV136" s="128">
        <f>SUMIF($E$4:$E$127,"510",$AV$4:$AV$127)</f>
        <v>0</v>
      </c>
      <c r="AW136" s="128">
        <f>SUMIF($E$4:$E$127," 510",$AW$4:$AW$127)</f>
        <v>0</v>
      </c>
      <c r="AX136" s="128">
        <f>SUMIF($E$4:$E$127,"510",$AX$4:$AX$127)</f>
        <v>48451537</v>
      </c>
      <c r="AY136" s="113">
        <f t="shared" si="170"/>
        <v>0.19035633195870738</v>
      </c>
      <c r="AZ136" s="32">
        <f t="shared" si="171"/>
        <v>184841895</v>
      </c>
      <c r="BA136" s="131">
        <f>SUMIF($E$4:$E$127,"510",$BA$4:$BA$127)</f>
        <v>0</v>
      </c>
      <c r="BB136" s="131">
        <f>SUMIF($E$4:$E$127,"510",$BB$4:$BB$127)</f>
        <v>0</v>
      </c>
      <c r="BC136" s="131">
        <f>SUMIF($E$4:$E$127,"510",$BC$4:$BC$127)</f>
        <v>29000000</v>
      </c>
      <c r="BD136" s="131">
        <f>SUMIF($E$4:$E$127,"510",$BD$4:$BD$127)</f>
        <v>0</v>
      </c>
      <c r="BE136" s="131">
        <f>SUMIF($E$4:$E$127,"510",$BE$4:$BE$127)</f>
        <v>94299480</v>
      </c>
      <c r="BF136" s="131">
        <f>SUMIF($E$4:$E$127,"510",$BF$4:$BF$127)</f>
        <v>0</v>
      </c>
      <c r="BG136" s="131">
        <f>SUMIF($E$4:$E$127,"510",$BG$4:$BG$127)</f>
        <v>0</v>
      </c>
      <c r="BH136" s="131">
        <f>SUMIF($E$4:$E$127,"510",$BH$4:$BH$127)</f>
        <v>0</v>
      </c>
      <c r="BI136" s="131">
        <f>SUMIF($E$4:$E$127,"510",$BI$4:$BI$127)</f>
        <v>0</v>
      </c>
      <c r="BJ136" s="131">
        <f>SUMIF($E$4:$E$127,"510",$BJ$4:$BJ$127)</f>
        <v>0</v>
      </c>
      <c r="BK136" s="131">
        <f>SUMIF($E$4:$E$127,"510",$BK$4:$BK$127)</f>
        <v>0</v>
      </c>
      <c r="BL136" s="131">
        <f>SUMIF($E$4:$E$127,"510",$BL$4:$BL$127)</f>
        <v>0</v>
      </c>
      <c r="BM136" s="131">
        <f>SUMIF($E$4:$E$127,"510",$BM$4:$BM$127)</f>
        <v>17564011</v>
      </c>
      <c r="BN136" s="131">
        <f>SUMIF($E$4:$E$127,"510",$BN$4:$BN$127)</f>
        <v>0</v>
      </c>
      <c r="BO136" s="131">
        <f>SUMIF($E$4:$E$127,"510",$BO$4:$BO$127)</f>
        <v>0</v>
      </c>
      <c r="BP136" s="131">
        <f>SUMIF($E$4:$E$127,"520",$BP$4:$BP$127)</f>
        <v>0</v>
      </c>
      <c r="BQ136" s="131"/>
      <c r="BR136" s="131">
        <f>SUMIF($E$4:$E$127,"510",$BR$4:$BR$127)</f>
        <v>0</v>
      </c>
      <c r="BS136" s="131">
        <f>SUMIF($E$4:$E$127,"510",$BS$4:$BS$127)</f>
        <v>0</v>
      </c>
      <c r="BT136" s="132">
        <f>SUMIF($E$4:$E$127,"510",$BT$4:$BT$127)</f>
        <v>43978404</v>
      </c>
      <c r="BU136" s="133">
        <f t="shared" si="172"/>
        <v>0.67081494867696689</v>
      </c>
      <c r="BV136" s="32">
        <f t="shared" si="173"/>
        <v>651382095</v>
      </c>
      <c r="BW136" s="128">
        <f>SUMIF($E$4:$E$127,"510",$BW$4:$BW$127)</f>
        <v>0</v>
      </c>
      <c r="BX136" s="128">
        <f>SUMIF($E$4:$E$127,"510",$BX$4:$BX$127)</f>
        <v>0</v>
      </c>
      <c r="BY136" s="128">
        <f>SUMIF($E$4:$E$127,"510",$BY$4:$BY$127)</f>
        <v>0</v>
      </c>
      <c r="BZ136" s="128">
        <f>SUMIF($E$4:$E$127,"510",$BZ$4:$BZ$127)</f>
        <v>0</v>
      </c>
      <c r="CA136" s="128">
        <f>SUMIF($E$4:$E$127,"510",$CA$4:$CA$127)</f>
        <v>565824023</v>
      </c>
      <c r="CB136" s="128">
        <f>SUMIF($E$4:$E$127,"510",$CB$4:$CB$127)</f>
        <v>14004396</v>
      </c>
      <c r="CC136" s="128">
        <f>SUMIF($E$4:$E$127,"510",$CC$4:$CC$127)</f>
        <v>0</v>
      </c>
      <c r="CD136" s="128">
        <f>SUMIF($E$4:$E$127,"510",$CD$4:$CD$127)</f>
        <v>0</v>
      </c>
      <c r="CE136" s="128">
        <f>SUMIF($E$4:$E$127,"510",$CE$4:$CE$127)</f>
        <v>0</v>
      </c>
      <c r="CF136" s="128">
        <f>SUMIF($E$4:$E$127,"510",$CF$4:$CF$127)</f>
        <v>0</v>
      </c>
      <c r="CG136" s="128">
        <f>SUMIF($E$4:$E$127,"510",$CG$4:$CG$127)</f>
        <v>0</v>
      </c>
      <c r="CH136" s="128">
        <f>SUMIF($E$4:$E$127,"510",$CH$4:$CH$127)</f>
        <v>0</v>
      </c>
      <c r="CI136" s="128">
        <f>SUMIF($E$4:$E$127,"510",$CI$4:$CI$127)</f>
        <v>22856903</v>
      </c>
      <c r="CJ136" s="128">
        <f>SUMIF($E$4:$E$127,"510",$CJ$4:$CJ$127)</f>
        <v>1796640</v>
      </c>
      <c r="CK136" s="128">
        <f>SUMIF($E$4:$E$127,"510",$CK$4:$CK$127)</f>
        <v>0</v>
      </c>
      <c r="CL136" s="128">
        <f>SUMIF($E$4:$E$127,"510",$CL$4:$CL$127)</f>
        <v>0</v>
      </c>
      <c r="CM136" s="128">
        <f>SUMIF($E$4:$E$127,"111",$CM$4:$CM$127)</f>
        <v>0</v>
      </c>
      <c r="CN136" s="128">
        <f>SUMIF($E$4:$E$127,"510",$CN$4:$CN$127)</f>
        <v>0</v>
      </c>
      <c r="CO136" s="128">
        <f>SUMIF($E$4:$E$127,"510",$CO$4:$CO$127)</f>
        <v>0</v>
      </c>
      <c r="CP136" s="134">
        <f>SUMIF($E$4:$E$127,"510",$CP$4:$CP$127)</f>
        <v>46900133</v>
      </c>
      <c r="CQ136" s="29">
        <f t="shared" si="174"/>
        <v>0.32918505132303311</v>
      </c>
      <c r="CR136" s="32">
        <f t="shared" si="175"/>
        <v>319648882</v>
      </c>
      <c r="CS136" s="131">
        <f>SUMIF($E$4:$E$127,"510",$CS$4:$CS$127)</f>
        <v>0</v>
      </c>
      <c r="CT136" s="131">
        <f>SUMIF($E$4:$E$127,"510",$CT$4:$CT$127)</f>
        <v>0</v>
      </c>
      <c r="CU136" s="131">
        <f>SUMIF($E$4:$E$127,"510",$CU$4:$CU$127)</f>
        <v>29000000</v>
      </c>
      <c r="CV136" s="131">
        <f>SUMIF($E$4:$E$127,"510",$CV$4:$CV$127)</f>
        <v>0</v>
      </c>
      <c r="CW136" s="131">
        <f>SUMIF($E$4:$E$127,"510",$CW$4:$CW$127)</f>
        <v>227544531</v>
      </c>
      <c r="CX136" s="131">
        <f>SUMIF($E$4:$E$127,"510",$CX$4:$CX$127)</f>
        <v>0</v>
      </c>
      <c r="CY136" s="131">
        <f>SUMIF($E$4:$E$127,"510",$CY$4:$CY$127)</f>
        <v>0</v>
      </c>
      <c r="CZ136" s="135">
        <f>SUMIF($E$4:$E$127,"510",$CZ$4:$CZ$127)</f>
        <v>0</v>
      </c>
      <c r="DA136" s="135">
        <f>SUMIF($E$4:$E$127,"510",$DA$4:$DA$127)</f>
        <v>0</v>
      </c>
      <c r="DB136" s="135">
        <f>SUMIF($E$4:$E$127,"510",$DB$4:$DB$127)</f>
        <v>0</v>
      </c>
      <c r="DC136" s="135">
        <f>SUMIF($E$4:$E$127,"510",$DC$4:$DC$127)</f>
        <v>0</v>
      </c>
      <c r="DD136" s="135">
        <f>SUMIF($E$4:$E$127,"510",$DD$4:$DD$127)</f>
        <v>0</v>
      </c>
      <c r="DE136" s="135">
        <f>SUMIF($E$4:$E$127,"510",$DE$4:$DE$127)</f>
        <v>17574543</v>
      </c>
      <c r="DF136" s="135">
        <f>SUMIF($E$4:$E$127,"510",$DF$4:$DF$127)</f>
        <v>0</v>
      </c>
      <c r="DG136" s="135">
        <f>SUMIF($E$4:$E$127,"510",$DG$4:$DG$127)</f>
        <v>0</v>
      </c>
      <c r="DH136" s="135">
        <f>SUMIF($E$4:$E$127,"510",$DH$4:$DH$127)</f>
        <v>0</v>
      </c>
      <c r="DI136" s="135">
        <f>SUMIF($E$4:$E$127,"510",$DI$4:$DI$127)</f>
        <v>0</v>
      </c>
      <c r="DJ136" s="135">
        <f>SUMIF($E$4:$E$127,"510",$DJ$4:$DJ$127)</f>
        <v>0</v>
      </c>
      <c r="DK136" s="135">
        <f>SUMIF($E$4:$E$127,"510",$DK$4:$DK$127)</f>
        <v>0</v>
      </c>
      <c r="DL136" s="135">
        <f>SUMIF($E$4:$E$127,"510",$DL$4:$DL$127)</f>
        <v>45529808</v>
      </c>
      <c r="DN136" s="193" t="s">
        <v>393</v>
      </c>
      <c r="DO136" s="193"/>
      <c r="DP136" s="195">
        <v>4334106780</v>
      </c>
      <c r="DQ136" s="195">
        <v>2231159345</v>
      </c>
      <c r="DR136" s="197">
        <v>0.51480000000000004</v>
      </c>
    </row>
    <row r="137" spans="3:122" x14ac:dyDescent="0.25">
      <c r="C137" s="137"/>
      <c r="D137" s="126" t="s">
        <v>361</v>
      </c>
      <c r="E137" s="119">
        <v>520</v>
      </c>
      <c r="F137" s="127"/>
      <c r="G137" s="128">
        <f>SUMIF($E$4:$E$127,"520",$G$4:$G$127)</f>
        <v>1600540286</v>
      </c>
      <c r="H137" s="128">
        <f>SUMIF($E$4:$E$127,"520",$H$4:$H$127)</f>
        <v>0</v>
      </c>
      <c r="I137" s="129">
        <f>SUMIF($E$4:$E$127,"520",$I$4:$I$127)</f>
        <v>0</v>
      </c>
      <c r="J137" s="129">
        <f>SUMIF($E$4:$E$127,"520",$J$4:$J$127)</f>
        <v>0</v>
      </c>
      <c r="K137" s="128">
        <f>SUMIF($E$4:$E$127,"520",$K$4:$K$127)</f>
        <v>0</v>
      </c>
      <c r="L137" s="127">
        <f>SUMIF($E$4:$E$127,"520",$L$4:$L$127)</f>
        <v>520000000</v>
      </c>
      <c r="M137" s="127">
        <f>SUMIF($E$4:$E$127,"520",$M$4:$M$127)</f>
        <v>50000000</v>
      </c>
      <c r="N137" s="127">
        <f>SUMIF($E$4:$E$127,"520",$N$4:$N$127)</f>
        <v>0</v>
      </c>
      <c r="O137" s="127">
        <f>SUMIF($E$4:$E$127,"520",$O$4:$O$127)</f>
        <v>0</v>
      </c>
      <c r="P137" s="127">
        <f>SUMIF($E$4:$E$127,"520",$P$4:$P$127)</f>
        <v>0</v>
      </c>
      <c r="Q137" s="127">
        <f>SUMIF($E$4:$E$127,"520",$Q$4:$Q$127)</f>
        <v>0</v>
      </c>
      <c r="R137" s="127">
        <f>SUMIF($E$4:$E$127,"520",$R$4:$R$127)</f>
        <v>0</v>
      </c>
      <c r="S137" s="127">
        <f>SUMIF($E$4:$E$127,"520",$S$4:$S$127)</f>
        <v>200000000</v>
      </c>
      <c r="T137" s="127">
        <f>SUMIF($E$4:$E$127,"520",$T$4:$T$127)</f>
        <v>333901442</v>
      </c>
      <c r="U137" s="127">
        <f>SUMIF($E$4:$E$127,"520",$U$4:$U$127)</f>
        <v>0</v>
      </c>
      <c r="V137" s="127">
        <f>SUMIF($E$4:$E$127,"520",$V$4:$V$127)</f>
        <v>0</v>
      </c>
      <c r="W137" s="127">
        <f>SUMIF($E$4:$E$119,"520",$W$4:$W$119)</f>
        <v>0</v>
      </c>
      <c r="X137" s="127"/>
      <c r="Y137" s="127">
        <f>SUMIF($E$4:$E$127,"520",$Y$4:$Y$127)</f>
        <v>0</v>
      </c>
      <c r="Z137" s="127">
        <f>SUMIF($E$4:$E$127,"520",$Z$4:$Z$127)</f>
        <v>0</v>
      </c>
      <c r="AA137" s="127">
        <f>SUMIF($E$4:$E$127,"520",$AA$4:$AA$127)</f>
        <v>496638844</v>
      </c>
      <c r="AC137" s="130">
        <f t="shared" si="168"/>
        <v>0.73839405626807197</v>
      </c>
      <c r="AD137" s="32">
        <f t="shared" si="169"/>
        <v>1181829434</v>
      </c>
      <c r="AE137" s="128">
        <f>SUMIF($E$4:$E$127,"520",$AE$4:$AE$127)</f>
        <v>0</v>
      </c>
      <c r="AF137" s="128">
        <f>SUMIF($E$4:$E$127,"520",$AF$4:$AF$127)</f>
        <v>0</v>
      </c>
      <c r="AG137" s="128">
        <f>SUMIF($E$4:$E$127,"520",$AG$4:$AG$127)</f>
        <v>0</v>
      </c>
      <c r="AH137" s="128">
        <f>SUMIF($E$4:$E$127,"520",$AH$4:$AH$127)</f>
        <v>0</v>
      </c>
      <c r="AI137" s="128">
        <f>SUMIF($E$4:$E$127,"520",$AI$4:$AI$127)</f>
        <v>282138473</v>
      </c>
      <c r="AJ137" s="128">
        <f>SUMIF($E$4:$E$127,"520",$AJ$4:$AJ$127)</f>
        <v>24212635</v>
      </c>
      <c r="AK137" s="128">
        <f>SUMIF($E$4:$E$127,"520",$AK$4:$AK$127)</f>
        <v>0</v>
      </c>
      <c r="AL137" s="128">
        <f>SUMIF($E$4:$E$127,"520",$AL$4:$AL$127)</f>
        <v>0</v>
      </c>
      <c r="AM137" s="128">
        <f>SUMIF($E$4:$E$127,"520",$AM$4:$AM$127)</f>
        <v>0</v>
      </c>
      <c r="AN137" s="128">
        <f>SUMIF($E$4:$E$127,"520",$AN$4:$AN$127)</f>
        <v>0</v>
      </c>
      <c r="AO137" s="128">
        <f>SUMIF($E$4:$E$127,"520",$AO$4:$AO$127)</f>
        <v>0</v>
      </c>
      <c r="AP137" s="128">
        <f>SUMIF($E$4:$E$127,"520",$AP$4:$AP$127)</f>
        <v>196388655</v>
      </c>
      <c r="AQ137" s="128">
        <f>SUMIF($E$4:$E$127,"520",$AQ$4:$AQ$127)</f>
        <v>286026149</v>
      </c>
      <c r="AR137" s="128">
        <f>SUMIF($E$4:$E$127,"520",$AR$4:$AR$127)</f>
        <v>0</v>
      </c>
      <c r="AS137" s="128">
        <f>SUMIF($E$4:$E$127,"520",$AS$4:$AS$127)</f>
        <v>0</v>
      </c>
      <c r="AT137" s="128">
        <f>SUMIF($E$4:$E$127,"520",$AT$4:$AT$127)</f>
        <v>0</v>
      </c>
      <c r="AU137" s="128">
        <f>SUMIF($E$4:$E$127,"520",$AU$4:$AU$127)</f>
        <v>0</v>
      </c>
      <c r="AV137" s="128">
        <f>SUMIF($E$4:$E$127,"520",$AV$4:$AV$127)</f>
        <v>0</v>
      </c>
      <c r="AW137" s="128">
        <f>SUMIF($E$4:$E$127,"520",$AW$4:$AW$127)</f>
        <v>0</v>
      </c>
      <c r="AX137" s="128">
        <f>SUMIF($E$4:$E$127,"520",$AX$4:$AX$127)</f>
        <v>393063522</v>
      </c>
      <c r="AY137" s="113">
        <f t="shared" si="170"/>
        <v>0.26160594373192803</v>
      </c>
      <c r="AZ137" s="32">
        <f t="shared" si="171"/>
        <v>418710852</v>
      </c>
      <c r="BA137" s="131">
        <f>SUMIF($E$4:$E$127,"520",$BA$4:$BA$127)</f>
        <v>0</v>
      </c>
      <c r="BB137" s="131">
        <f>SUMIF($E$4:$E$127,"520",$BB$4:$BB$127)</f>
        <v>0</v>
      </c>
      <c r="BC137" s="131">
        <f>SUMIF($E$4:$E$127,"520",$BC$4:$BC$127)</f>
        <v>0</v>
      </c>
      <c r="BD137" s="131">
        <f>SUMIF($E$4:$E$127,"520",$BD$4:$BD$127)</f>
        <v>0</v>
      </c>
      <c r="BE137" s="131">
        <f>SUMIF($E$4:$E$127,"520",$BE$4:$BE$127)</f>
        <v>237861527</v>
      </c>
      <c r="BF137" s="131">
        <f>SUMIF($E$4:$E$127,"520",$BF$4:$BF$127)</f>
        <v>25787365</v>
      </c>
      <c r="BG137" s="131">
        <f>SUMIF($E$4:$E$127,"520",$BG$4:$BG$127)</f>
        <v>0</v>
      </c>
      <c r="BH137" s="131">
        <f>SUMIF($E$4:$E$127,"520",$BH$4:$BH$127)</f>
        <v>0</v>
      </c>
      <c r="BI137" s="131">
        <f>SUMIF($E$4:$E$127,"520",$BI$4:$BI$127)</f>
        <v>0</v>
      </c>
      <c r="BJ137" s="131">
        <f>SUMIF($E$4:$E$127,"520",$BJ$4:$BJ$127)</f>
        <v>0</v>
      </c>
      <c r="BK137" s="131">
        <f>SUMIF($E$4:$E$127,"520",$BK$4:$BK$127)</f>
        <v>0</v>
      </c>
      <c r="BL137" s="131">
        <f>SUMIF($E$4:$E$127,"520",$BL$4:$BL$127)</f>
        <v>3611345</v>
      </c>
      <c r="BM137" s="131">
        <f>SUMIF($E$4:$E$127,"520",$BM$4:$BM$127)</f>
        <v>47875293</v>
      </c>
      <c r="BN137" s="131">
        <f>SUMIF($E$4:$E$127,"520",$BN$4:$BN$127)</f>
        <v>0</v>
      </c>
      <c r="BO137" s="131">
        <f>SUMIF($E$4:$E$127,"520",$BO$4:$BO$127)</f>
        <v>0</v>
      </c>
      <c r="BP137" s="131">
        <f>SUMIF($E$4:$E$127,"111",$BP$4:$BP$127)</f>
        <v>0</v>
      </c>
      <c r="BQ137" s="131"/>
      <c r="BR137" s="131">
        <f>SUMIF($E$4:$E$127,"520",$BR$4:$BR$127)</f>
        <v>0</v>
      </c>
      <c r="BS137" s="131">
        <f>SUMIF($E$4:$E$127,"520",$BS$4:$BS$127)</f>
        <v>0</v>
      </c>
      <c r="BT137" s="132">
        <f>SUMIF($E$4:$E$127,"520",$BT$4:$BT$127)</f>
        <v>103575322</v>
      </c>
      <c r="BU137" s="133">
        <f t="shared" si="172"/>
        <v>0.5763361916402272</v>
      </c>
      <c r="BV137" s="32">
        <f t="shared" si="173"/>
        <v>922449293</v>
      </c>
      <c r="BW137" s="128">
        <f>SUMIF($E$4:$E$127,"520",$BW$4:$BW$127)</f>
        <v>0</v>
      </c>
      <c r="BX137" s="128">
        <f>SUMIF($E$4:$E$127,"520",$BX$4:$BX$127)</f>
        <v>0</v>
      </c>
      <c r="BY137" s="128">
        <f>SUMIF($E$4:$E$127,"520",$BY$4:$BY$127)</f>
        <v>0</v>
      </c>
      <c r="BZ137" s="128">
        <f>SUMIF($E$4:$E$127,"520",$BZ$4:$BZ$127)</f>
        <v>0</v>
      </c>
      <c r="CA137" s="128">
        <f>SUMIF($E$4:$E$127,"520",$CA$4:$CA$127)</f>
        <v>222563715</v>
      </c>
      <c r="CB137" s="128">
        <f>SUMIF($E$4:$E$127,"520",$CB$4:$CB$127)</f>
        <v>24212635</v>
      </c>
      <c r="CC137" s="128">
        <f>SUMIF($E$4:$E$127,"520",$CC$4:$CC$127)</f>
        <v>0</v>
      </c>
      <c r="CD137" s="128">
        <f>SUMIF($E$4:$E$127,"520",$CD$4:$CD$127)</f>
        <v>0</v>
      </c>
      <c r="CE137" s="128">
        <f>SUMIF($E$4:$E$127,"520",$CE$4:$CE$127)</f>
        <v>0</v>
      </c>
      <c r="CF137" s="128">
        <f>SUMIF($E$4:$E$127,"520",$CF$4:$CF$127)</f>
        <v>0</v>
      </c>
      <c r="CG137" s="128">
        <f>SUMIF($E$4:$E$127,"520",$CG$4:$CG$127)</f>
        <v>0</v>
      </c>
      <c r="CH137" s="128">
        <f>SUMIF($E$4:$E$127,"520",$CH$4:$CH$127)</f>
        <v>162882922</v>
      </c>
      <c r="CI137" s="128">
        <f>SUMIF($E$4:$E$127,"520",$CI$4:$CI$127)</f>
        <v>232521071</v>
      </c>
      <c r="CJ137" s="128">
        <f>SUMIF($E$4:$E$127,"520",$CJ$4:$CJ$127)</f>
        <v>0</v>
      </c>
      <c r="CK137" s="128">
        <f>SUMIF($E$4:$E$127,"520",$CK$4:$CK$127)</f>
        <v>0</v>
      </c>
      <c r="CL137" s="128">
        <f>SUMIF($E$4:$E$127,"520",$CL$4:$CL$127)</f>
        <v>0</v>
      </c>
      <c r="CM137" s="128">
        <f>SUMIF($E$4:$E$127,"111",$CM$4:$CM$127)</f>
        <v>0</v>
      </c>
      <c r="CN137" s="128">
        <f>SUMIF($E$4:$E$127,"520",$CN$4:$CN$127)</f>
        <v>0</v>
      </c>
      <c r="CO137" s="128">
        <f>SUMIF($E$4:$E$127,"520",$CO$4:$CO$127)</f>
        <v>0</v>
      </c>
      <c r="CP137" s="134">
        <f>SUMIF($E$4:$E$127,"520",$CP$4:$CP$127)</f>
        <v>280268950</v>
      </c>
      <c r="CQ137" s="29">
        <f t="shared" si="174"/>
        <v>0.4236638083597728</v>
      </c>
      <c r="CR137" s="32">
        <f t="shared" si="175"/>
        <v>678090993</v>
      </c>
      <c r="CS137" s="131">
        <f>SUMIF($E$4:$E$127,"520",$CS$4:$CS$127)</f>
        <v>0</v>
      </c>
      <c r="CT137" s="131">
        <f>SUMIF($E$4:$E$127,"520",$CT$4:$CT$127)</f>
        <v>0</v>
      </c>
      <c r="CU137" s="131">
        <f>SUMIF($E$4:$E$127,"520",$CU$4:$CU$127)</f>
        <v>0</v>
      </c>
      <c r="CV137" s="131">
        <f>SUMIF($E$4:$E$127,"520",$CV$4:$CV$127)</f>
        <v>0</v>
      </c>
      <c r="CW137" s="131">
        <f>SUMIF($E$4:$E$127,"520",$CW$4:$CW$127)</f>
        <v>297436285</v>
      </c>
      <c r="CX137" s="131">
        <f>SUMIF($E$4:$E$127,"520",$CX$4:$CX$127)</f>
        <v>25787365</v>
      </c>
      <c r="CY137" s="131">
        <f>SUMIF($E$4:$E$127,"520",$CY$4:$CY$127)</f>
        <v>0</v>
      </c>
      <c r="CZ137" s="135">
        <f>SUMIF($E$4:$E$127,"520",$CZ$4:$CZ$127)</f>
        <v>0</v>
      </c>
      <c r="DA137" s="135">
        <f>SUMIF($E$4:$E$127,"520",$DA$4:$DA$127)</f>
        <v>0</v>
      </c>
      <c r="DB137" s="135">
        <f>SUMIF($E$4:$E$127,"520",$DB$4:$DB$127)</f>
        <v>0</v>
      </c>
      <c r="DC137" s="135">
        <f>SUMIF($E$4:$E$127,"520",$DC$4:$DC$127)</f>
        <v>0</v>
      </c>
      <c r="DD137" s="135">
        <f>SUMIF($E$4:$E$127,"520",$DD$4:$DD$127)</f>
        <v>37117078</v>
      </c>
      <c r="DE137" s="135">
        <f>SUMIF($E$4:$E$127,"520",$DE$4:$DE$127)</f>
        <v>101380371</v>
      </c>
      <c r="DF137" s="135">
        <f>SUMIF($E$4:$E$127,"520",$DF$4:$DF$127)</f>
        <v>0</v>
      </c>
      <c r="DG137" s="135">
        <f>SUMIF($E$4:$E$127,"520",$DG$4:$DG$127)</f>
        <v>0</v>
      </c>
      <c r="DH137" s="135">
        <f>SUMIF($E$4:$E$127,"520",$DH$4:$DH$127)</f>
        <v>0</v>
      </c>
      <c r="DI137" s="135">
        <f>SUMIF($E$4:$E$127,"520",$DI$4:$DI$127)</f>
        <v>0</v>
      </c>
      <c r="DJ137" s="135">
        <f>SUMIF($E$4:$E$127,"520",$DJ$4:$DJ$127)</f>
        <v>0</v>
      </c>
      <c r="DK137" s="135">
        <f>SUMIF($E$4:$E$127,"520",$DK$4:$DK$127)</f>
        <v>0</v>
      </c>
      <c r="DL137" s="135">
        <f>SUMIF($E$4:$E$127,"520",$DL$4:$DL$127)</f>
        <v>216369894</v>
      </c>
      <c r="DN137" s="193" t="s">
        <v>360</v>
      </c>
      <c r="DO137" s="193"/>
      <c r="DP137" s="195">
        <v>971030977</v>
      </c>
      <c r="DQ137" s="195">
        <v>651382095</v>
      </c>
      <c r="DR137" s="197">
        <v>0.67079999999999995</v>
      </c>
    </row>
    <row r="138" spans="3:122" x14ac:dyDescent="0.25">
      <c r="C138" s="137"/>
      <c r="D138" s="126" t="s">
        <v>362</v>
      </c>
      <c r="E138" s="119" t="s">
        <v>334</v>
      </c>
      <c r="F138" s="127"/>
      <c r="G138" s="128">
        <f>SUMIF($E$4:$E$127,"520-2",$G$4:$G$127)</f>
        <v>3185000000</v>
      </c>
      <c r="H138" s="128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7">
        <f>SUMIF($E$4:$E$127,"520-2",$U$4:$U$127)</f>
        <v>485000000</v>
      </c>
      <c r="V138" s="129"/>
      <c r="W138" s="129"/>
      <c r="X138" s="129"/>
      <c r="Y138" s="127">
        <f>SUMIF($E$4:$E$127,"520-2",$Y$4:$Y$127)</f>
        <v>2700000000</v>
      </c>
      <c r="Z138" s="129"/>
      <c r="AA138" s="127">
        <f>SUMIF($E$4:$E$127,"520-2",$AA$4:$AA$127)</f>
        <v>0</v>
      </c>
      <c r="AC138" s="130">
        <f t="shared" si="168"/>
        <v>1</v>
      </c>
      <c r="AD138" s="32">
        <f t="shared" si="169"/>
        <v>3185000000</v>
      </c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>
        <f>SUMIF($E$4:$E$127,"520-2",$AR$4:$AR$127)</f>
        <v>485000000</v>
      </c>
      <c r="AS138" s="128"/>
      <c r="AT138" s="128"/>
      <c r="AU138" s="128">
        <f>SUMIF($E$4:$E$127,"520-2",$AU$4:$AU$127)</f>
        <v>0</v>
      </c>
      <c r="AV138" s="128">
        <f>SUMIF($E$4:$E$127,"520-2",$AV$4:$AV$127)</f>
        <v>2700000000</v>
      </c>
      <c r="AW138" s="128"/>
      <c r="AX138" s="128"/>
      <c r="AY138" s="113">
        <f t="shared" si="170"/>
        <v>0</v>
      </c>
      <c r="AZ138" s="32">
        <f t="shared" si="171"/>
        <v>0</v>
      </c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>
        <f>SUMIF($E$4:$E$127,"520-2",$BN$4:$BN$127)</f>
        <v>0</v>
      </c>
      <c r="BO138" s="131"/>
      <c r="BP138" s="131"/>
      <c r="BQ138" s="131"/>
      <c r="BR138" s="131">
        <f>SUMIF($E$4:$E$127,"520-2",$BR$4:$BR$127)</f>
        <v>0</v>
      </c>
      <c r="BS138" s="131"/>
      <c r="BT138" s="132"/>
      <c r="BU138" s="133">
        <f t="shared" si="172"/>
        <v>0.25496371679748825</v>
      </c>
      <c r="BV138" s="32">
        <f>SUM(BW138:CP138)</f>
        <v>812059438</v>
      </c>
      <c r="BW138" s="134"/>
      <c r="BX138" s="134"/>
      <c r="BY138" s="134"/>
      <c r="BZ138" s="134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>
        <f>SUMIF($E$4:$E$127,"520-2",$CJ$4:$CJ$127)</f>
        <v>359172189</v>
      </c>
      <c r="CK138" s="128"/>
      <c r="CL138" s="128"/>
      <c r="CM138" s="128">
        <f>SUMIF($E$4:$E$127,"111",$CM$4:$CM$127)</f>
        <v>0</v>
      </c>
      <c r="CN138" s="128">
        <f>SUMIF($E$4:$E$127,"520-2",$CN$4:$CN$127)</f>
        <v>452887249</v>
      </c>
      <c r="CO138" s="128"/>
      <c r="CP138" s="134"/>
      <c r="CQ138" s="29">
        <f t="shared" si="174"/>
        <v>0.7450362832025117</v>
      </c>
      <c r="CR138" s="32">
        <f t="shared" si="175"/>
        <v>2372940562</v>
      </c>
      <c r="CS138" s="132"/>
      <c r="CT138" s="132"/>
      <c r="CU138" s="132"/>
      <c r="CV138" s="132"/>
      <c r="CW138" s="131"/>
      <c r="CX138" s="131"/>
      <c r="CY138" s="131"/>
      <c r="CZ138" s="135"/>
      <c r="DA138" s="135"/>
      <c r="DB138" s="135"/>
      <c r="DC138" s="135"/>
      <c r="DD138" s="135"/>
      <c r="DE138" s="135"/>
      <c r="DF138" s="135">
        <f>SUMIF($E$4:$E$127,"520-2",$DF$4:$DF$127)</f>
        <v>125827811</v>
      </c>
      <c r="DG138" s="135"/>
      <c r="DH138" s="135"/>
      <c r="DI138" s="135">
        <f>SUMIF($E$4:$E$127,"520-2",$DI$4:$DI$127)</f>
        <v>0</v>
      </c>
      <c r="DJ138" s="135">
        <f>SUMIF($E$4:$E$127,"520-2",$DJ$4:$DJ$127)</f>
        <v>2247112751</v>
      </c>
      <c r="DK138" s="135"/>
      <c r="DL138" s="135"/>
      <c r="DN138" s="289" t="s">
        <v>394</v>
      </c>
      <c r="DO138" s="289"/>
      <c r="DP138" s="195">
        <v>1600540286</v>
      </c>
      <c r="DQ138" s="195">
        <v>922449293</v>
      </c>
      <c r="DR138" s="198">
        <v>0.57630000000000003</v>
      </c>
    </row>
    <row r="139" spans="3:122" x14ac:dyDescent="0.25">
      <c r="C139" s="137"/>
      <c r="D139" s="126" t="s">
        <v>363</v>
      </c>
      <c r="E139" s="1"/>
      <c r="F139" s="139"/>
      <c r="G139" s="140">
        <f t="shared" ref="G139:AA139" si="176">SUM(G132:G138)</f>
        <v>19479225964</v>
      </c>
      <c r="H139" s="140">
        <f t="shared" si="176"/>
        <v>0</v>
      </c>
      <c r="I139" s="140">
        <f t="shared" si="176"/>
        <v>0</v>
      </c>
      <c r="J139" s="140">
        <f t="shared" si="176"/>
        <v>8458835637</v>
      </c>
      <c r="K139" s="140">
        <f t="shared" si="176"/>
        <v>171003327</v>
      </c>
      <c r="L139" s="140">
        <f t="shared" si="176"/>
        <v>1899736650</v>
      </c>
      <c r="M139" s="140">
        <f t="shared" si="176"/>
        <v>138372986</v>
      </c>
      <c r="N139" s="140">
        <f t="shared" si="176"/>
        <v>54387</v>
      </c>
      <c r="O139" s="140">
        <f t="shared" si="176"/>
        <v>30665828</v>
      </c>
      <c r="P139" s="140">
        <f t="shared" si="176"/>
        <v>1940856</v>
      </c>
      <c r="Q139" s="140">
        <f t="shared" si="176"/>
        <v>3438802</v>
      </c>
      <c r="R139" s="140">
        <f t="shared" si="176"/>
        <v>345941457</v>
      </c>
      <c r="S139" s="140">
        <f t="shared" si="176"/>
        <v>1544000000</v>
      </c>
      <c r="T139" s="140">
        <f t="shared" si="176"/>
        <v>1142029623</v>
      </c>
      <c r="U139" s="140">
        <f t="shared" si="176"/>
        <v>486796640</v>
      </c>
      <c r="V139" s="140">
        <f t="shared" si="176"/>
        <v>1054833768</v>
      </c>
      <c r="W139" s="140">
        <f t="shared" si="176"/>
        <v>0</v>
      </c>
      <c r="X139" s="140">
        <f t="shared" si="176"/>
        <v>11169156</v>
      </c>
      <c r="Y139" s="140">
        <f t="shared" si="176"/>
        <v>2700000000</v>
      </c>
      <c r="Z139" s="140">
        <f t="shared" si="176"/>
        <v>204741836</v>
      </c>
      <c r="AA139" s="140">
        <f t="shared" si="176"/>
        <v>1285665011</v>
      </c>
      <c r="AB139" s="141">
        <f>SUM(AB132:AB137)</f>
        <v>0</v>
      </c>
      <c r="AC139" s="130">
        <f t="shared" si="168"/>
        <v>0.65833612073190695</v>
      </c>
      <c r="AD139" s="140">
        <f t="shared" ref="AD139:AX139" si="177">SUM(AD132:AD138)</f>
        <v>12823878056</v>
      </c>
      <c r="AE139" s="140">
        <f t="shared" si="177"/>
        <v>0</v>
      </c>
      <c r="AF139" s="140">
        <f t="shared" si="177"/>
        <v>0</v>
      </c>
      <c r="AG139" s="140">
        <f t="shared" si="177"/>
        <v>4374004955</v>
      </c>
      <c r="AH139" s="140">
        <f t="shared" si="177"/>
        <v>52220600</v>
      </c>
      <c r="AI139" s="140">
        <f t="shared" si="177"/>
        <v>1404490793</v>
      </c>
      <c r="AJ139" s="140">
        <f t="shared" si="177"/>
        <v>38217031</v>
      </c>
      <c r="AK139" s="140">
        <f t="shared" si="177"/>
        <v>0</v>
      </c>
      <c r="AL139" s="140">
        <f t="shared" si="177"/>
        <v>0</v>
      </c>
      <c r="AM139" s="140">
        <f t="shared" si="177"/>
        <v>0</v>
      </c>
      <c r="AN139" s="140">
        <f t="shared" si="177"/>
        <v>0</v>
      </c>
      <c r="AO139" s="140">
        <f t="shared" si="177"/>
        <v>164856575</v>
      </c>
      <c r="AP139" s="140">
        <f t="shared" si="177"/>
        <v>1496388655</v>
      </c>
      <c r="AQ139" s="140">
        <f t="shared" si="177"/>
        <v>775628761</v>
      </c>
      <c r="AR139" s="140">
        <f t="shared" si="177"/>
        <v>486796640</v>
      </c>
      <c r="AS139" s="140">
        <f t="shared" si="177"/>
        <v>747530233</v>
      </c>
      <c r="AT139" s="140">
        <f t="shared" si="177"/>
        <v>0</v>
      </c>
      <c r="AU139" s="140">
        <f t="shared" si="177"/>
        <v>0</v>
      </c>
      <c r="AV139" s="140">
        <f t="shared" si="177"/>
        <v>2700000000</v>
      </c>
      <c r="AW139" s="140">
        <f t="shared" si="177"/>
        <v>23350298</v>
      </c>
      <c r="AX139" s="140">
        <f t="shared" si="177"/>
        <v>560393515</v>
      </c>
      <c r="AY139" s="113">
        <f t="shared" si="170"/>
        <v>0.34166387926809305</v>
      </c>
      <c r="AZ139" s="142">
        <f t="shared" ref="AZ139:BT139" si="178">SUM(AZ132:AZ138)</f>
        <v>6655347908</v>
      </c>
      <c r="BA139" s="142">
        <f t="shared" si="178"/>
        <v>0</v>
      </c>
      <c r="BB139" s="142">
        <f t="shared" si="178"/>
        <v>0</v>
      </c>
      <c r="BC139" s="142">
        <f t="shared" si="178"/>
        <v>4084830682</v>
      </c>
      <c r="BD139" s="142">
        <f t="shared" si="178"/>
        <v>118782727</v>
      </c>
      <c r="BE139" s="142">
        <f t="shared" si="178"/>
        <v>495245857</v>
      </c>
      <c r="BF139" s="142">
        <f t="shared" si="178"/>
        <v>100155955</v>
      </c>
      <c r="BG139" s="142">
        <f t="shared" si="178"/>
        <v>54387</v>
      </c>
      <c r="BH139" s="142">
        <f t="shared" si="178"/>
        <v>30665828</v>
      </c>
      <c r="BI139" s="142">
        <f t="shared" si="178"/>
        <v>1940856</v>
      </c>
      <c r="BJ139" s="142">
        <f t="shared" si="178"/>
        <v>3438802</v>
      </c>
      <c r="BK139" s="142">
        <f t="shared" si="178"/>
        <v>181084882</v>
      </c>
      <c r="BL139" s="142">
        <f t="shared" si="178"/>
        <v>47611345</v>
      </c>
      <c r="BM139" s="142">
        <f t="shared" si="178"/>
        <v>366400862</v>
      </c>
      <c r="BN139" s="142">
        <f t="shared" si="178"/>
        <v>0</v>
      </c>
      <c r="BO139" s="142">
        <f t="shared" si="178"/>
        <v>307303535</v>
      </c>
      <c r="BP139" s="142">
        <f t="shared" si="178"/>
        <v>0</v>
      </c>
      <c r="BQ139" s="142">
        <f t="shared" si="178"/>
        <v>11169156</v>
      </c>
      <c r="BR139" s="142">
        <f t="shared" si="178"/>
        <v>0</v>
      </c>
      <c r="BS139" s="142">
        <f t="shared" si="178"/>
        <v>181391538</v>
      </c>
      <c r="BT139" s="142">
        <f t="shared" si="178"/>
        <v>725271496</v>
      </c>
      <c r="BU139" s="133">
        <f t="shared" si="172"/>
        <v>0.35036763573733548</v>
      </c>
      <c r="BV139" s="32">
        <f t="shared" ref="BV139:CP139" si="179">SUM(BV132:BV138)</f>
        <v>6824890347</v>
      </c>
      <c r="BW139" s="32">
        <f t="shared" si="179"/>
        <v>0</v>
      </c>
      <c r="BX139" s="32">
        <f t="shared" si="179"/>
        <v>0</v>
      </c>
      <c r="BY139" s="32">
        <f t="shared" si="179"/>
        <v>2218011406</v>
      </c>
      <c r="BZ139" s="32">
        <f t="shared" si="179"/>
        <v>45348340</v>
      </c>
      <c r="CA139" s="32">
        <f t="shared" si="179"/>
        <v>1020255744</v>
      </c>
      <c r="CB139" s="32">
        <f t="shared" si="179"/>
        <v>38217031</v>
      </c>
      <c r="CC139" s="32">
        <f t="shared" si="179"/>
        <v>0</v>
      </c>
      <c r="CD139" s="32">
        <f t="shared" si="179"/>
        <v>0</v>
      </c>
      <c r="CE139" s="32">
        <f t="shared" si="179"/>
        <v>0</v>
      </c>
      <c r="CF139" s="32">
        <f t="shared" si="179"/>
        <v>0</v>
      </c>
      <c r="CG139" s="32">
        <f t="shared" si="179"/>
        <v>94856575</v>
      </c>
      <c r="CH139" s="32">
        <f t="shared" si="179"/>
        <v>899475319</v>
      </c>
      <c r="CI139" s="32">
        <f t="shared" si="179"/>
        <v>586037877</v>
      </c>
      <c r="CJ139" s="32">
        <f t="shared" si="179"/>
        <v>360968829</v>
      </c>
      <c r="CK139" s="32">
        <f t="shared" si="179"/>
        <v>659625514</v>
      </c>
      <c r="CL139" s="32">
        <f t="shared" si="179"/>
        <v>0</v>
      </c>
      <c r="CM139" s="32">
        <f t="shared" si="179"/>
        <v>0</v>
      </c>
      <c r="CN139" s="32">
        <f t="shared" si="179"/>
        <v>452887249</v>
      </c>
      <c r="CO139" s="32">
        <f t="shared" si="179"/>
        <v>23350298</v>
      </c>
      <c r="CP139" s="32">
        <f t="shared" si="179"/>
        <v>425856165</v>
      </c>
      <c r="CQ139" s="29">
        <f t="shared" si="174"/>
        <v>0.64963236426266446</v>
      </c>
      <c r="CR139" s="140">
        <f t="shared" ref="CR139:DL139" ca="1" si="180">SUM(CR132:CR138)</f>
        <v>12654335617</v>
      </c>
      <c r="CS139" s="140">
        <f t="shared" si="180"/>
        <v>0</v>
      </c>
      <c r="CT139" s="140">
        <f t="shared" ca="1" si="180"/>
        <v>0</v>
      </c>
      <c r="CU139" s="140">
        <f t="shared" si="180"/>
        <v>6240824231</v>
      </c>
      <c r="CV139" s="140">
        <f t="shared" si="180"/>
        <v>125654987</v>
      </c>
      <c r="CW139" s="140">
        <f t="shared" si="180"/>
        <v>879480906</v>
      </c>
      <c r="CX139" s="140">
        <f t="shared" si="180"/>
        <v>100155955</v>
      </c>
      <c r="CY139" s="140">
        <f t="shared" si="180"/>
        <v>54387</v>
      </c>
      <c r="CZ139" s="140">
        <f t="shared" si="180"/>
        <v>30665828</v>
      </c>
      <c r="DA139" s="140">
        <f t="shared" si="180"/>
        <v>1940856</v>
      </c>
      <c r="DB139" s="140">
        <f t="shared" si="180"/>
        <v>3438802</v>
      </c>
      <c r="DC139" s="140">
        <f t="shared" si="180"/>
        <v>251084882</v>
      </c>
      <c r="DD139" s="140">
        <f t="shared" si="180"/>
        <v>644524681</v>
      </c>
      <c r="DE139" s="140">
        <f t="shared" si="180"/>
        <v>555991746</v>
      </c>
      <c r="DF139" s="140">
        <f t="shared" si="180"/>
        <v>125827811</v>
      </c>
      <c r="DG139" s="140">
        <f t="shared" si="180"/>
        <v>395208254</v>
      </c>
      <c r="DH139" s="140">
        <f t="shared" si="180"/>
        <v>0</v>
      </c>
      <c r="DI139" s="140">
        <f t="shared" si="180"/>
        <v>11169156</v>
      </c>
      <c r="DJ139" s="140">
        <f t="shared" si="180"/>
        <v>2247112751</v>
      </c>
      <c r="DK139" s="140">
        <f t="shared" si="180"/>
        <v>181391538</v>
      </c>
      <c r="DL139" s="140">
        <f t="shared" si="180"/>
        <v>859808846</v>
      </c>
      <c r="DN139" s="193" t="s">
        <v>395</v>
      </c>
      <c r="DO139" s="193"/>
      <c r="DP139" s="195">
        <v>3185000000</v>
      </c>
      <c r="DQ139" s="195">
        <v>812059438</v>
      </c>
      <c r="DR139" s="197">
        <v>0.255</v>
      </c>
    </row>
    <row r="140" spans="3:122" x14ac:dyDescent="0.25">
      <c r="C140" s="137"/>
      <c r="D140" s="126" t="s">
        <v>255</v>
      </c>
      <c r="E140" s="143">
        <v>301</v>
      </c>
      <c r="F140" s="127"/>
      <c r="G140" s="128">
        <f>SUMIF($E$4:$E$127,"301",$G$4:$G$127)</f>
        <v>2524365485</v>
      </c>
      <c r="H140" s="128">
        <f>SUMIF($E$4:$E$127,"301",$H$4:$H$127)</f>
        <v>0</v>
      </c>
      <c r="I140" s="129">
        <f>SUMIF($E$4:$E$127,"301",$I$4:$I$127)</f>
        <v>200000000</v>
      </c>
      <c r="J140" s="129">
        <f>SUMIF($E$4:$E$127,"301",$J$4:$J$127)</f>
        <v>268168096</v>
      </c>
      <c r="K140" s="128">
        <f>SUMIF($E$4:$E$127,"301",$K$4:$K$127)</f>
        <v>0</v>
      </c>
      <c r="L140" s="127">
        <f>SUMIF($E$4:$E$127,"301",$L$4:$L$127)</f>
        <v>701280247</v>
      </c>
      <c r="M140" s="127">
        <f>SUMIF($E$4:$E$127,"301",$M$4:$M$127)</f>
        <v>0</v>
      </c>
      <c r="N140" s="127">
        <f>SUMIF($E$4:$E$127,"301",$N$4:$N$127)</f>
        <v>0</v>
      </c>
      <c r="O140" s="127">
        <f>SUMIF($E$4:$E$127,"301",$O$4:$O$127)</f>
        <v>0</v>
      </c>
      <c r="P140" s="127">
        <f>SUMIF($E$4:$E$127,"301",$P$4:$P$127)</f>
        <v>0</v>
      </c>
      <c r="Q140" s="127">
        <f>SUMIF($E$4:$E$127,"301",$Q$4:$Q$127)</f>
        <v>0</v>
      </c>
      <c r="R140" s="127">
        <f>SUMIF($E$4:$E$127,"301",$R$4:$R$127)</f>
        <v>0</v>
      </c>
      <c r="S140" s="127">
        <f>SUMIF($E$4:$E$127,"301",$S$4:$S$127)</f>
        <v>0</v>
      </c>
      <c r="T140" s="127">
        <f>SUMIF($E$4:$E$127,"301",$T$4:$T$127)</f>
        <v>0</v>
      </c>
      <c r="U140" s="127">
        <f>SUMIF($E$4:$E$127,"301",$U$4:$U$127)</f>
        <v>0</v>
      </c>
      <c r="V140" s="127">
        <f>SUMIF($E$4:$E$127,"301",$V$4:$V$127)</f>
        <v>50000000</v>
      </c>
      <c r="W140" s="127">
        <f>SUMIF($E$4:$E$119,"301",$W$4:$W$119)</f>
        <v>1262551657</v>
      </c>
      <c r="X140" s="127"/>
      <c r="Y140" s="127">
        <f>SUMIF($E$4:$E$119,"301",$Y$4:$Y$119)</f>
        <v>0</v>
      </c>
      <c r="Z140" s="127">
        <f>SUMIF($E$4:$E$127,"301",$Z$4:$Z$127)</f>
        <v>0</v>
      </c>
      <c r="AA140" s="127">
        <f>SUMIF($E$4:$E$127,"301",$AA$4:$AA$127)</f>
        <v>42365485</v>
      </c>
      <c r="AC140" s="130">
        <f t="shared" si="168"/>
        <v>0.80858012483877706</v>
      </c>
      <c r="AD140" s="32">
        <f>SUM(AF140:AX140)</f>
        <v>2041151759</v>
      </c>
      <c r="AE140" s="128">
        <f>SUMIF($E$4:$E$127,"301",$AE$4:$AE$127)</f>
        <v>0</v>
      </c>
      <c r="AF140" s="128">
        <f>SUMIF($E$4:$E$127,"301",$AF$4:$AF$127)</f>
        <v>200000000</v>
      </c>
      <c r="AG140" s="128">
        <f>SUMIF($E$4:$E$127,"301",$AG$4:$AG$127)</f>
        <v>268168096</v>
      </c>
      <c r="AH140" s="128">
        <f>SUMIF($E$4:$E$127,"301",$AH$4:$AH$127)</f>
        <v>0</v>
      </c>
      <c r="AI140" s="128">
        <f>SUMIF($E$4:$E$127,"301",$AI$4:$AI$127)</f>
        <v>701280247</v>
      </c>
      <c r="AJ140" s="128">
        <f>SUMIF($E$4:$E$127,"301",$AJ$4:$AJ$127)</f>
        <v>0</v>
      </c>
      <c r="AK140" s="128">
        <f>SUMIF($E$4:$E$127,"301",$AK$4:$AK$127)</f>
        <v>0</v>
      </c>
      <c r="AL140" s="128">
        <f>SUMIF($E$4:$E$127,"301",$AL$4:$AL$127)</f>
        <v>0</v>
      </c>
      <c r="AM140" s="128">
        <f>SUMIF($E$4:$E$127,"301",$AM$4:$AM$127)</f>
        <v>0</v>
      </c>
      <c r="AN140" s="128">
        <f>SUMIF($E$4:$E$127,"301",$AN$4:$AN$127)</f>
        <v>0</v>
      </c>
      <c r="AO140" s="128">
        <f>SUMIF($E$4:$E$127,"301",$AO$4:$AO$127)</f>
        <v>0</v>
      </c>
      <c r="AP140" s="128">
        <f>SUMIF($E$4:$E$127,"301",$AP$4:$AP$127)</f>
        <v>0</v>
      </c>
      <c r="AQ140" s="128">
        <f>SUMIF($E$4:$E$127,"301",$AQ$4:$AQ$127)</f>
        <v>0</v>
      </c>
      <c r="AR140" s="128">
        <f>SUMIF($E$4:$E$127,"301",$AR$4:$AR$127)</f>
        <v>0</v>
      </c>
      <c r="AS140" s="128">
        <f>SUMIF($E$4:$E$127,"301",$AS$4:$AS$127)</f>
        <v>30058973</v>
      </c>
      <c r="AT140" s="128">
        <f>SUMIF($E$4:$E$127,"301",$AT$4:$AT$127)</f>
        <v>822749581</v>
      </c>
      <c r="AU140" s="128">
        <f>SUMIF($E$4:$E$127,"301",$AU$4:$AU$127)</f>
        <v>0</v>
      </c>
      <c r="AV140" s="128">
        <f>SUMIF($E$4:$E$127,"301",$AV$4:$AV$127)</f>
        <v>0</v>
      </c>
      <c r="AW140" s="128">
        <f>SUMIF($E$4:$E$127,"301",$AW$4:$AW$127)</f>
        <v>0</v>
      </c>
      <c r="AX140" s="128">
        <f>SUMIF($E$4:$E$127,"301",$AX$4:$AX$127)</f>
        <v>18894862</v>
      </c>
      <c r="AY140" s="113">
        <f t="shared" si="170"/>
        <v>0.19141987516122294</v>
      </c>
      <c r="AZ140" s="32">
        <f>SUM(BA140:BT140)</f>
        <v>483213726</v>
      </c>
      <c r="BA140" s="131">
        <f>SUMIF($E$4:$E$127,"301",$BA$4:$BA$127)</f>
        <v>0</v>
      </c>
      <c r="BB140" s="131">
        <f>SUMIF($E$4:$E$127,"301",$BB$4:$BB$127)</f>
        <v>0</v>
      </c>
      <c r="BC140" s="131">
        <f>SUMIF($E$4:$E$127,"301",$BC$4:$BC$127)</f>
        <v>0</v>
      </c>
      <c r="BD140" s="131">
        <f>SUMIF($E$4:$E$127,"301",$BD$4:$BD$127)</f>
        <v>0</v>
      </c>
      <c r="BE140" s="131">
        <f>SUMIF($E$4:$E$127,"301",$BE$4:$BE$127)</f>
        <v>0</v>
      </c>
      <c r="BF140" s="131">
        <f>SUMIF($E$4:$E$127,"301",$BF$4:$BF$127)</f>
        <v>0</v>
      </c>
      <c r="BG140" s="131">
        <f>SUMIF($E$4:$E$127,"301",$BG$4:$BG$127)</f>
        <v>0</v>
      </c>
      <c r="BH140" s="131">
        <f>SUMIF($E$4:$E$127,"301",$BH$4:$BH$127)</f>
        <v>0</v>
      </c>
      <c r="BI140" s="131">
        <f>SUMIF($E$4:$E$127,"301",$BI$4:$BI$127)</f>
        <v>0</v>
      </c>
      <c r="BJ140" s="131">
        <f>SUMIF($E$4:$E$127,"301",$BJ$4:$BJ$127)</f>
        <v>0</v>
      </c>
      <c r="BK140" s="131">
        <f>SUMIF($E$4:$E$127,"301",$BK$4:$BK$127)</f>
        <v>0</v>
      </c>
      <c r="BL140" s="131">
        <f>SUMIF($E$4:$E$127,"301",$BL$4:$BL$127)</f>
        <v>0</v>
      </c>
      <c r="BM140" s="131">
        <f>SUMIF($E$4:$E$127,"301",$BM$4:$BM$127)</f>
        <v>0</v>
      </c>
      <c r="BN140" s="131">
        <f>SUMIF($E$4:$E$127,"301",$BN$4:$BN$127)</f>
        <v>0</v>
      </c>
      <c r="BO140" s="131">
        <f>SUMIF($E$4:$E$127,"301",$BO$4:$BO$127)</f>
        <v>19941027</v>
      </c>
      <c r="BP140" s="131">
        <f>SUMIF($E$4:$E$127,"301",$BP$4:$BP$127)</f>
        <v>439802076</v>
      </c>
      <c r="BQ140" s="131"/>
      <c r="BR140" s="131">
        <f>SUMIF($E$4:$E$127,"301",$BR$4:$BR$127)</f>
        <v>0</v>
      </c>
      <c r="BS140" s="131"/>
      <c r="BT140" s="132">
        <f>SUMIF($E$4:$E$127,"301",$BT$4:$BT$127)</f>
        <v>23470623</v>
      </c>
      <c r="BU140" s="133">
        <f t="shared" si="172"/>
        <v>0.76553122655295691</v>
      </c>
      <c r="BV140" s="32">
        <f>SUM(BX140:CP140)</f>
        <v>1932480606</v>
      </c>
      <c r="BW140" s="128">
        <f>SUMIF($E$4:$E$127,"111",$BW$4:$BW$127)</f>
        <v>0</v>
      </c>
      <c r="BX140" s="128">
        <f>SUMIF($E$4:$E$127,"301",$BX$4:$BX$127)</f>
        <v>192408143</v>
      </c>
      <c r="BY140" s="128">
        <f>SUMIF($E$4:$E$127,"301",$BY$4:$BY$127)</f>
        <v>268168096</v>
      </c>
      <c r="BZ140" s="128">
        <f>SUMIF($E$4:$E$127,"301",$BZ$4:$BZ$127)</f>
        <v>0</v>
      </c>
      <c r="CA140" s="128">
        <f>SUMIF($E$4:$E$127,"301",$CA$4:$CA$127)</f>
        <v>701280247</v>
      </c>
      <c r="CB140" s="128">
        <f>SUMIF($E$4:$E$127,"301",$CB$4:$CB$127)</f>
        <v>0</v>
      </c>
      <c r="CC140" s="128">
        <f>SUMIF($E$4:$E$127,"301",$CC$4:$CC$127)</f>
        <v>0</v>
      </c>
      <c r="CD140" s="128">
        <f>SUMIF($E$4:$E$127,"301",$CD$4:$CD$127)</f>
        <v>0</v>
      </c>
      <c r="CE140" s="128">
        <f>SUMIF($E$4:$E$127,"301",$CE$4:$CE$127)</f>
        <v>0</v>
      </c>
      <c r="CF140" s="128">
        <f>SUMIF($E$4:$E$127,"301",$CF$4:$CF$127)</f>
        <v>0</v>
      </c>
      <c r="CG140" s="128">
        <f>SUMIF($E$4:$E$127,"301",$CG$4:$CG$127)</f>
        <v>0</v>
      </c>
      <c r="CH140" s="128">
        <f>SUMIF($E$4:$E$127,"301",$CH$4:$CH$127)</f>
        <v>0</v>
      </c>
      <c r="CI140" s="128">
        <f>SUMIF($E$4:$E$127,"301",$CI$4:$CI$127)</f>
        <v>0</v>
      </c>
      <c r="CJ140" s="128">
        <f>SUMIF($E$4:$E$127,"301",$CJ$4:$CJ$127)</f>
        <v>0</v>
      </c>
      <c r="CK140" s="128">
        <f>SUMIF($E$4:$E$127,"301",$CK$4:$CK$127)</f>
        <v>30058973</v>
      </c>
      <c r="CL140" s="128">
        <f>SUMIF($E$4:$E$127,"301",$CL$4:$CL$127)</f>
        <v>723539805</v>
      </c>
      <c r="CM140" s="128">
        <f>SUMIF($E$4:$E$127,"301",$CM$4:$CM$127)</f>
        <v>0</v>
      </c>
      <c r="CN140" s="128">
        <f>SUMIF($E$4:$E$127,"301",$CN$4:$CN$127)</f>
        <v>0</v>
      </c>
      <c r="CO140" s="128">
        <f>SUMIF($E$4:$E$127,"301",$CO$4:$CO$127)</f>
        <v>0</v>
      </c>
      <c r="CP140" s="134">
        <f>SUMIF($E$4:$E$127,"301",$CP$4:$CP$127)</f>
        <v>17025342</v>
      </c>
      <c r="CQ140" s="29">
        <f t="shared" si="174"/>
        <v>0.23446877344704309</v>
      </c>
      <c r="CR140" s="32">
        <f>SUM(CS140:DL140)</f>
        <v>591884879</v>
      </c>
      <c r="CS140" s="131">
        <f>SUMIF($E$4:$E$127,"301",$CS$4:$CS$127)</f>
        <v>0</v>
      </c>
      <c r="CT140" s="131">
        <f>SUMIF($E$4:$E$127,"301",$CT$4:$CT$127)</f>
        <v>7591857</v>
      </c>
      <c r="CU140" s="131">
        <f>SUMIF($E$4:$E$127,"301",$CU$4:$CU$127)</f>
        <v>0</v>
      </c>
      <c r="CV140" s="131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5">
        <f>SUMIF($E$4:$E$127,"301",$CZ$4:$CZ$127)</f>
        <v>0</v>
      </c>
      <c r="DA140" s="135">
        <f>SUMIF($E$4:$E$127,"301",$DA$4:$DA$127)</f>
        <v>0</v>
      </c>
      <c r="DB140" s="135">
        <f>SUMIF($E$4:$E$127,"301",$DB$4:$DB$127)</f>
        <v>0</v>
      </c>
      <c r="DC140" s="135">
        <f>SUMIF($E$4:$E$127,"301",$DC$4:$DC$127)</f>
        <v>0</v>
      </c>
      <c r="DD140" s="135">
        <f>SUMIF($E$4:$E$127,"301",$DD$4:$DD$127)</f>
        <v>0</v>
      </c>
      <c r="DE140" s="135">
        <f>SUMIF($E$4:$E$127,"301",$DE$4:$DE$127)</f>
        <v>0</v>
      </c>
      <c r="DF140" s="135">
        <f>SUMIF($E$4:$E$127,"301",$DF$4:$DF$127)</f>
        <v>0</v>
      </c>
      <c r="DG140" s="135">
        <f>SUMIF($E$4:$E$127,"301",$DG$4:$DG$127)</f>
        <v>19941027</v>
      </c>
      <c r="DH140" s="135">
        <f>SUMIF($E$4:$E$127,"301",$DH$4:$DH$127)</f>
        <v>539011852</v>
      </c>
      <c r="DI140" s="135">
        <f>SUMIF($E$4:$E$127,"301",$DI$4:$DI$127)</f>
        <v>0</v>
      </c>
      <c r="DJ140" s="135">
        <f>SUMIF($E$4:$E$127,"301",$DJ$4:$DJ$127)</f>
        <v>0</v>
      </c>
      <c r="DK140" s="135">
        <f>SUMIF($E$4:$E$127,"301",$DK$4:$DK$127)</f>
        <v>0</v>
      </c>
      <c r="DL140" s="135">
        <f>SUMIF($E$4:$E$127,"301",$DL$4:$DL$127)</f>
        <v>25340143</v>
      </c>
      <c r="DN140" s="193" t="s">
        <v>396</v>
      </c>
      <c r="DO140" s="193"/>
      <c r="DP140" s="195">
        <v>2524365485</v>
      </c>
      <c r="DQ140" s="195">
        <v>1932480606</v>
      </c>
      <c r="DR140" s="197">
        <v>0.76549999999999996</v>
      </c>
    </row>
    <row r="141" spans="3:122" ht="15.75" thickBot="1" x14ac:dyDescent="0.3">
      <c r="C141" s="256" t="s">
        <v>364</v>
      </c>
      <c r="D141" s="257"/>
      <c r="E141" s="144"/>
      <c r="F141" s="145"/>
      <c r="G141" s="146">
        <f t="shared" ref="G141:AB141" si="181">SUM(G139:G140)</f>
        <v>22003591449</v>
      </c>
      <c r="H141" s="146">
        <f t="shared" si="181"/>
        <v>0</v>
      </c>
      <c r="I141" s="146">
        <f t="shared" si="181"/>
        <v>200000000</v>
      </c>
      <c r="J141" s="146">
        <f t="shared" si="181"/>
        <v>8727003733</v>
      </c>
      <c r="K141" s="146">
        <f t="shared" si="181"/>
        <v>171003327</v>
      </c>
      <c r="L141" s="146">
        <f t="shared" si="181"/>
        <v>2601016897</v>
      </c>
      <c r="M141" s="146">
        <f t="shared" si="181"/>
        <v>138372986</v>
      </c>
      <c r="N141" s="146">
        <f t="shared" si="181"/>
        <v>54387</v>
      </c>
      <c r="O141" s="146">
        <f t="shared" si="181"/>
        <v>30665828</v>
      </c>
      <c r="P141" s="146">
        <f t="shared" si="181"/>
        <v>1940856</v>
      </c>
      <c r="Q141" s="146">
        <f t="shared" si="181"/>
        <v>3438802</v>
      </c>
      <c r="R141" s="146">
        <f t="shared" si="181"/>
        <v>345941457</v>
      </c>
      <c r="S141" s="146">
        <f t="shared" si="181"/>
        <v>1544000000</v>
      </c>
      <c r="T141" s="146">
        <f t="shared" si="181"/>
        <v>1142029623</v>
      </c>
      <c r="U141" s="147">
        <f t="shared" si="181"/>
        <v>486796640</v>
      </c>
      <c r="V141" s="146">
        <f t="shared" si="181"/>
        <v>1104833768</v>
      </c>
      <c r="W141" s="146">
        <f t="shared" si="181"/>
        <v>1262551657</v>
      </c>
      <c r="X141" s="146">
        <f t="shared" si="181"/>
        <v>11169156</v>
      </c>
      <c r="Y141" s="146">
        <f t="shared" si="181"/>
        <v>2700000000</v>
      </c>
      <c r="Z141" s="146">
        <f t="shared" si="181"/>
        <v>204741836</v>
      </c>
      <c r="AA141" s="146">
        <f t="shared" si="181"/>
        <v>1328030496</v>
      </c>
      <c r="AB141" s="146">
        <f t="shared" si="181"/>
        <v>0</v>
      </c>
      <c r="AC141" s="148">
        <f t="shared" si="168"/>
        <v>0.67557288770127444</v>
      </c>
      <c r="AD141" s="149">
        <f t="shared" ref="AD141:AX141" si="182">AD139+AD140</f>
        <v>14865029815</v>
      </c>
      <c r="AE141" s="149">
        <f t="shared" si="182"/>
        <v>0</v>
      </c>
      <c r="AF141" s="149">
        <f t="shared" si="182"/>
        <v>200000000</v>
      </c>
      <c r="AG141" s="149">
        <f t="shared" si="182"/>
        <v>4642173051</v>
      </c>
      <c r="AH141" s="149">
        <f t="shared" si="182"/>
        <v>52220600</v>
      </c>
      <c r="AI141" s="149">
        <f t="shared" si="182"/>
        <v>2105771040</v>
      </c>
      <c r="AJ141" s="149">
        <f t="shared" si="182"/>
        <v>38217031</v>
      </c>
      <c r="AK141" s="149">
        <f t="shared" si="182"/>
        <v>0</v>
      </c>
      <c r="AL141" s="149">
        <f t="shared" si="182"/>
        <v>0</v>
      </c>
      <c r="AM141" s="149">
        <f t="shared" si="182"/>
        <v>0</v>
      </c>
      <c r="AN141" s="149">
        <f t="shared" si="182"/>
        <v>0</v>
      </c>
      <c r="AO141" s="149">
        <f t="shared" si="182"/>
        <v>164856575</v>
      </c>
      <c r="AP141" s="149">
        <f t="shared" si="182"/>
        <v>1496388655</v>
      </c>
      <c r="AQ141" s="149">
        <f t="shared" si="182"/>
        <v>775628761</v>
      </c>
      <c r="AR141" s="149">
        <f t="shared" si="182"/>
        <v>486796640</v>
      </c>
      <c r="AS141" s="149">
        <f t="shared" si="182"/>
        <v>777589206</v>
      </c>
      <c r="AT141" s="149">
        <f t="shared" si="182"/>
        <v>822749581</v>
      </c>
      <c r="AU141" s="149">
        <f t="shared" si="182"/>
        <v>0</v>
      </c>
      <c r="AV141" s="149">
        <f t="shared" si="182"/>
        <v>2700000000</v>
      </c>
      <c r="AW141" s="149">
        <f t="shared" si="182"/>
        <v>23350298</v>
      </c>
      <c r="AX141" s="149">
        <f t="shared" si="182"/>
        <v>579288377</v>
      </c>
      <c r="AY141" s="160">
        <f>1-AC141</f>
        <v>0.32442711229872556</v>
      </c>
      <c r="AZ141" s="149">
        <f>AZ139+AZ140</f>
        <v>7138561634</v>
      </c>
      <c r="BA141" s="149">
        <f>BA139+BA140</f>
        <v>0</v>
      </c>
      <c r="BB141" s="149">
        <f>BB139+BB140</f>
        <v>0</v>
      </c>
      <c r="BC141" s="150">
        <f t="shared" ref="BC141:BT141" si="183">+BC139+BC140</f>
        <v>4084830682</v>
      </c>
      <c r="BD141" s="150">
        <f t="shared" si="183"/>
        <v>118782727</v>
      </c>
      <c r="BE141" s="150">
        <f t="shared" si="183"/>
        <v>495245857</v>
      </c>
      <c r="BF141" s="150">
        <f t="shared" si="183"/>
        <v>100155955</v>
      </c>
      <c r="BG141" s="150">
        <f t="shared" si="183"/>
        <v>54387</v>
      </c>
      <c r="BH141" s="150">
        <f t="shared" si="183"/>
        <v>30665828</v>
      </c>
      <c r="BI141" s="150">
        <f t="shared" si="183"/>
        <v>1940856</v>
      </c>
      <c r="BJ141" s="150">
        <f t="shared" si="183"/>
        <v>3438802</v>
      </c>
      <c r="BK141" s="150">
        <f t="shared" si="183"/>
        <v>181084882</v>
      </c>
      <c r="BL141" s="150">
        <f t="shared" si="183"/>
        <v>47611345</v>
      </c>
      <c r="BM141" s="150">
        <f t="shared" si="183"/>
        <v>366400862</v>
      </c>
      <c r="BN141" s="150">
        <f t="shared" si="183"/>
        <v>0</v>
      </c>
      <c r="BO141" s="150">
        <f t="shared" si="183"/>
        <v>327244562</v>
      </c>
      <c r="BP141" s="150">
        <f t="shared" si="183"/>
        <v>439802076</v>
      </c>
      <c r="BQ141" s="150">
        <f t="shared" si="183"/>
        <v>11169156</v>
      </c>
      <c r="BR141" s="150">
        <f t="shared" si="183"/>
        <v>0</v>
      </c>
      <c r="BS141" s="150">
        <f t="shared" si="183"/>
        <v>181391538</v>
      </c>
      <c r="BT141" s="150">
        <f t="shared" si="183"/>
        <v>748742119</v>
      </c>
      <c r="BU141" s="151">
        <f t="shared" si="172"/>
        <v>0.39799734390169278</v>
      </c>
      <c r="BV141" s="152">
        <f>+BV139+BV140</f>
        <v>8757370953</v>
      </c>
      <c r="BW141" s="150">
        <f>+BW139+BW140</f>
        <v>0</v>
      </c>
      <c r="BX141" s="150">
        <f>+BX139+BX140</f>
        <v>192408143</v>
      </c>
      <c r="BY141" s="150">
        <f>+BY139+BY140</f>
        <v>2486179502</v>
      </c>
      <c r="BZ141" s="150">
        <f>+BZ139+BZ140</f>
        <v>45348340</v>
      </c>
      <c r="CA141" s="146">
        <f t="shared" ref="CA141:CP141" si="184">SUM(CA139:CA140)</f>
        <v>1721535991</v>
      </c>
      <c r="CB141" s="146">
        <f t="shared" si="184"/>
        <v>38217031</v>
      </c>
      <c r="CC141" s="146">
        <f t="shared" si="184"/>
        <v>0</v>
      </c>
      <c r="CD141" s="146">
        <f t="shared" si="184"/>
        <v>0</v>
      </c>
      <c r="CE141" s="146">
        <f t="shared" si="184"/>
        <v>0</v>
      </c>
      <c r="CF141" s="146">
        <f t="shared" si="184"/>
        <v>0</v>
      </c>
      <c r="CG141" s="146">
        <f t="shared" si="184"/>
        <v>94856575</v>
      </c>
      <c r="CH141" s="146">
        <f t="shared" si="184"/>
        <v>899475319</v>
      </c>
      <c r="CI141" s="146">
        <f t="shared" si="184"/>
        <v>586037877</v>
      </c>
      <c r="CJ141" s="146">
        <f t="shared" si="184"/>
        <v>360968829</v>
      </c>
      <c r="CK141" s="146">
        <f t="shared" si="184"/>
        <v>689684487</v>
      </c>
      <c r="CL141" s="146">
        <f t="shared" si="184"/>
        <v>723539805</v>
      </c>
      <c r="CM141" s="146">
        <f t="shared" si="184"/>
        <v>0</v>
      </c>
      <c r="CN141" s="146">
        <f t="shared" si="184"/>
        <v>452887249</v>
      </c>
      <c r="CO141" s="146">
        <f t="shared" si="184"/>
        <v>23350298</v>
      </c>
      <c r="CP141" s="153">
        <f t="shared" si="184"/>
        <v>442881507</v>
      </c>
      <c r="CQ141" s="154">
        <f t="shared" si="174"/>
        <v>0.60200265609830717</v>
      </c>
      <c r="CR141" s="146">
        <f t="shared" ref="CR141:DL141" ca="1" si="185">SUM(CR139:CR140)</f>
        <v>13246220496</v>
      </c>
      <c r="CS141" s="153">
        <f t="shared" si="185"/>
        <v>0</v>
      </c>
      <c r="CT141" s="153">
        <f t="shared" ca="1" si="185"/>
        <v>7591857</v>
      </c>
      <c r="CU141" s="153">
        <f t="shared" si="185"/>
        <v>6240824231</v>
      </c>
      <c r="CV141" s="153">
        <f t="shared" si="185"/>
        <v>125654987</v>
      </c>
      <c r="CW141" s="146">
        <f t="shared" si="185"/>
        <v>879480906</v>
      </c>
      <c r="CX141" s="146">
        <f t="shared" si="185"/>
        <v>100155955</v>
      </c>
      <c r="CY141" s="146">
        <f t="shared" si="185"/>
        <v>54387</v>
      </c>
      <c r="CZ141" s="155">
        <f t="shared" si="185"/>
        <v>30665828</v>
      </c>
      <c r="DA141" s="155">
        <f t="shared" si="185"/>
        <v>1940856</v>
      </c>
      <c r="DB141" s="155">
        <f t="shared" si="185"/>
        <v>3438802</v>
      </c>
      <c r="DC141" s="155">
        <f t="shared" si="185"/>
        <v>251084882</v>
      </c>
      <c r="DD141" s="155">
        <f t="shared" si="185"/>
        <v>644524681</v>
      </c>
      <c r="DE141" s="155">
        <f t="shared" si="185"/>
        <v>555991746</v>
      </c>
      <c r="DF141" s="155">
        <f t="shared" si="185"/>
        <v>125827811</v>
      </c>
      <c r="DG141" s="155">
        <f t="shared" si="185"/>
        <v>415149281</v>
      </c>
      <c r="DH141" s="155">
        <f t="shared" si="185"/>
        <v>539011852</v>
      </c>
      <c r="DI141" s="155">
        <f t="shared" si="185"/>
        <v>11169156</v>
      </c>
      <c r="DJ141" s="155">
        <f t="shared" si="185"/>
        <v>2247112751</v>
      </c>
      <c r="DK141" s="155">
        <f t="shared" si="185"/>
        <v>181391538</v>
      </c>
      <c r="DL141" s="155">
        <f t="shared" si="185"/>
        <v>885148989</v>
      </c>
      <c r="DN141" s="286" t="s">
        <v>15</v>
      </c>
      <c r="DO141" s="286"/>
      <c r="DP141" s="195">
        <f>DP133+DP134+DP135+DP136+DP137+DP138+DP139+DP140</f>
        <v>22003591449</v>
      </c>
      <c r="DQ141" s="195">
        <f>DQ133+DQ134+DQ135+DQ136+DQ137+DQ138+DQ139+DQ140</f>
        <v>8757370953</v>
      </c>
      <c r="DR141" s="197">
        <v>0.39800000000000002</v>
      </c>
    </row>
    <row r="142" spans="3:122" ht="15.75" thickTop="1" x14ac:dyDescent="0.25">
      <c r="C142" s="50"/>
      <c r="D142" s="156"/>
    </row>
    <row r="143" spans="3:122" x14ac:dyDescent="0.25">
      <c r="D143" s="281" t="s">
        <v>398</v>
      </c>
      <c r="E143" s="283"/>
      <c r="F143" s="283"/>
      <c r="G143" s="283"/>
      <c r="H143" s="283"/>
      <c r="I143" s="283"/>
      <c r="J143" s="283"/>
      <c r="K143" s="283"/>
      <c r="L143" s="283"/>
      <c r="M143" s="283"/>
      <c r="N143" s="283"/>
      <c r="O143" s="283"/>
      <c r="P143" s="283"/>
      <c r="Q143" s="283"/>
      <c r="R143" s="283"/>
      <c r="S143" s="283"/>
      <c r="T143" s="283"/>
      <c r="U143" s="283"/>
      <c r="V143" s="283"/>
      <c r="W143" s="283"/>
      <c r="X143" s="283"/>
      <c r="Y143" s="283"/>
      <c r="Z143" s="283"/>
      <c r="AA143" s="283"/>
      <c r="AB143" s="283"/>
      <c r="AC143" s="283"/>
      <c r="AD143" s="283"/>
      <c r="AE143" s="283"/>
      <c r="AF143" s="283"/>
      <c r="AG143" s="283"/>
      <c r="AH143" s="283"/>
      <c r="AI143" s="283"/>
      <c r="AJ143" s="283"/>
      <c r="AK143" s="283"/>
      <c r="AL143" s="283"/>
      <c r="AM143" s="283"/>
      <c r="AN143" s="283"/>
      <c r="AO143" s="283"/>
      <c r="AP143" s="283"/>
      <c r="AQ143" s="283"/>
      <c r="AR143" s="283"/>
      <c r="AS143" s="283"/>
      <c r="AT143" s="283"/>
      <c r="AU143" s="283"/>
      <c r="AV143" s="283"/>
      <c r="AW143" s="283"/>
      <c r="AX143" s="283"/>
      <c r="AY143" s="282"/>
    </row>
    <row r="144" spans="3:122" ht="36.75" x14ac:dyDescent="0.25">
      <c r="D144" s="167" t="s">
        <v>5</v>
      </c>
      <c r="E144" s="168"/>
      <c r="F144" s="169"/>
      <c r="G144" s="170" t="s">
        <v>397</v>
      </c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2"/>
      <c r="AC144" s="170" t="s">
        <v>373</v>
      </c>
      <c r="AD144" s="170" t="s">
        <v>377</v>
      </c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170" t="s">
        <v>374</v>
      </c>
      <c r="AZ144" s="58"/>
      <c r="BV144" s="58"/>
    </row>
    <row r="145" spans="4:74" x14ac:dyDescent="0.25">
      <c r="D145" s="284" t="s">
        <v>39</v>
      </c>
      <c r="E145" s="285"/>
      <c r="F145" s="113"/>
      <c r="G145" s="173">
        <v>44512122</v>
      </c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"/>
      <c r="AC145" s="143">
        <v>3.14</v>
      </c>
      <c r="AD145" s="174">
        <v>616176877</v>
      </c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175">
        <v>0.4461</v>
      </c>
      <c r="BU145" s="187"/>
      <c r="BV145" s="58"/>
    </row>
    <row r="146" spans="4:74" x14ac:dyDescent="0.25">
      <c r="D146" s="284" t="s">
        <v>85</v>
      </c>
      <c r="E146" s="285"/>
      <c r="F146" s="113"/>
      <c r="G146" s="173">
        <v>131402186</v>
      </c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"/>
      <c r="AC146" s="143">
        <v>2.97</v>
      </c>
      <c r="AD146" s="174">
        <v>2231159345</v>
      </c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175">
        <v>0.51480000000000004</v>
      </c>
      <c r="AZ146" s="58"/>
    </row>
    <row r="147" spans="4:74" x14ac:dyDescent="0.25">
      <c r="D147" s="284" t="s">
        <v>175</v>
      </c>
      <c r="E147" s="285"/>
      <c r="F147" s="113"/>
      <c r="G147" s="173">
        <v>108561277</v>
      </c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"/>
      <c r="AC147" s="143">
        <v>5.43</v>
      </c>
      <c r="AD147" s="174">
        <v>922449293</v>
      </c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175">
        <v>0.57630000000000003</v>
      </c>
      <c r="AZ147" s="58"/>
    </row>
    <row r="148" spans="4:74" x14ac:dyDescent="0.25">
      <c r="D148" s="284" t="s">
        <v>375</v>
      </c>
      <c r="E148" s="285"/>
      <c r="F148" s="113"/>
      <c r="G148" s="173">
        <v>67223488</v>
      </c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"/>
      <c r="AC148" s="143">
        <v>2.4700000000000002</v>
      </c>
      <c r="AD148" s="174">
        <v>1932480606</v>
      </c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175">
        <v>0.76549999999999996</v>
      </c>
      <c r="AZ148" s="58"/>
    </row>
    <row r="149" spans="4:74" x14ac:dyDescent="0.25">
      <c r="D149" s="284" t="s">
        <v>299</v>
      </c>
      <c r="E149" s="285"/>
      <c r="F149" s="113"/>
      <c r="G149" s="176">
        <v>220199556</v>
      </c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8"/>
      <c r="AC149" s="179">
        <v>1.81</v>
      </c>
      <c r="AD149" s="180">
        <v>3055104832</v>
      </c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181">
        <v>0.25119999999999998</v>
      </c>
      <c r="AZ149" s="58"/>
    </row>
    <row r="150" spans="4:74" ht="15.75" thickBot="1" x14ac:dyDescent="0.3">
      <c r="D150" s="281" t="s">
        <v>376</v>
      </c>
      <c r="E150" s="282"/>
      <c r="F150" s="182"/>
      <c r="G150" s="183">
        <f>SUM(G145:G149)</f>
        <v>571898629</v>
      </c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  <c r="AB150" s="144"/>
      <c r="AC150" s="188">
        <f>AC145+AC146+AC147+AC148+AC149</f>
        <v>15.82</v>
      </c>
      <c r="AD150" s="184">
        <f>AD145+AD146+AD147+AD148+AD149</f>
        <v>8757370953</v>
      </c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6">
        <v>0.39800000000000002</v>
      </c>
    </row>
    <row r="151" spans="4:74" ht="15.75" thickTop="1" x14ac:dyDescent="0.25">
      <c r="H151" s="58"/>
    </row>
  </sheetData>
  <mergeCells count="105">
    <mergeCell ref="DN130:DO130"/>
    <mergeCell ref="DN132:DO132"/>
    <mergeCell ref="DN134:DO134"/>
    <mergeCell ref="DN138:DO138"/>
    <mergeCell ref="DN141:DO141"/>
    <mergeCell ref="D150:E150"/>
    <mergeCell ref="A122:A127"/>
    <mergeCell ref="B122:B124"/>
    <mergeCell ref="B128:D128"/>
    <mergeCell ref="C130:E130"/>
    <mergeCell ref="C141:D141"/>
    <mergeCell ref="D143:AY143"/>
    <mergeCell ref="D145:E145"/>
    <mergeCell ref="D146:E146"/>
    <mergeCell ref="D147:E147"/>
    <mergeCell ref="D148:E148"/>
    <mergeCell ref="D149:E149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59:A70"/>
    <mergeCell ref="B59:B61"/>
    <mergeCell ref="B63:B70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DI1:DJ2"/>
    <mergeCell ref="DK1:DL2"/>
    <mergeCell ref="A2:A3"/>
    <mergeCell ref="B2:B3"/>
    <mergeCell ref="C2:C3"/>
    <mergeCell ref="D2:D3"/>
    <mergeCell ref="E2:E3"/>
    <mergeCell ref="F2:F3"/>
    <mergeCell ref="CU1:CV2"/>
    <mergeCell ref="CW1:CX2"/>
    <mergeCell ref="CY1:CZ2"/>
    <mergeCell ref="DA1:DB2"/>
    <mergeCell ref="DC1:DD2"/>
    <mergeCell ref="DE1:DF2"/>
    <mergeCell ref="AW1:AX2"/>
    <mergeCell ref="AY1:AZ2"/>
    <mergeCell ref="BB1:BC2"/>
    <mergeCell ref="BU1:BV2"/>
    <mergeCell ref="CQ1:CR2"/>
    <mergeCell ref="CS1:CT2"/>
    <mergeCell ref="B21:B23"/>
    <mergeCell ref="DG1:DH2"/>
    <mergeCell ref="B4:B6"/>
    <mergeCell ref="B8:B12"/>
    <mergeCell ref="B14:B16"/>
    <mergeCell ref="B18:B19"/>
    <mergeCell ref="B20:E20"/>
    <mergeCell ref="AU1:AV2"/>
    <mergeCell ref="C1:F1"/>
    <mergeCell ref="AC1:AD2"/>
    <mergeCell ref="AE1:AF2"/>
    <mergeCell ref="AG1:AH2"/>
    <mergeCell ref="AI1:AJ2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AK1:AL2"/>
    <mergeCell ref="AM1:AN2"/>
    <mergeCell ref="AO1:AP2"/>
    <mergeCell ref="AQ1:AR2"/>
    <mergeCell ref="AS1:AT2"/>
    <mergeCell ref="Z1:Z3"/>
    <mergeCell ref="AA1:AA3"/>
    <mergeCell ref="U1:U3"/>
    <mergeCell ref="V1:V3"/>
    <mergeCell ref="W1:W3"/>
    <mergeCell ref="X1:X3"/>
    <mergeCell ref="Y1:Y3"/>
    <mergeCell ref="P1:P3"/>
    <mergeCell ref="Q1:Q3"/>
    <mergeCell ref="R1:R3"/>
    <mergeCell ref="S1:S3"/>
    <mergeCell ref="T1:T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162 DEL 10 DE JUNIO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ACCION A JUNIO</vt:lpstr>
      <vt:lpstr>P. ACCION A JUNIO (2)</vt:lpstr>
      <vt:lpstr>P. ACCION A JUNIO (3)</vt:lpstr>
      <vt:lpstr>'P. ACCION A JUNIO'!Títulos_a_imprimir</vt:lpstr>
      <vt:lpstr>'P. ACCION A JUNIO (2)'!Títulos_a_imprimir</vt:lpstr>
      <vt:lpstr>'P. ACCION A JUNIO (3)'!Títulos_a_imprimir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2016-07-06T15:45:21Z</dcterms:created>
  <dcterms:modified xsi:type="dcterms:W3CDTF">2016-07-07T13:29:07Z</dcterms:modified>
</cp:coreProperties>
</file>